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8910" activeTab="0"/>
  </bookViews>
  <sheets>
    <sheet name="real proj04,05,06,07" sheetId="1" r:id="rId1"/>
  </sheets>
  <definedNames>
    <definedName name="_xlnm.Print_Area" localSheetId="0">'real proj04,05,06,07'!$A$3:$Y$394</definedName>
    <definedName name="_xlnm.Print_Titles" localSheetId="0">'real proj04,05,06,07'!$10:$16</definedName>
  </definedNames>
  <calcPr fullCalcOnLoad="1"/>
</workbook>
</file>

<file path=xl/comments1.xml><?xml version="1.0" encoding="utf-8"?>
<comments xmlns="http://schemas.openxmlformats.org/spreadsheetml/2006/main">
  <authors>
    <author>uporabnik Microsoft Officea</author>
  </authors>
  <commentList>
    <comment ref="U110" authorId="0">
      <text>
        <r>
          <rPr>
            <sz val="8"/>
            <rFont val="Tahoma"/>
            <family val="0"/>
          </rPr>
          <t xml:space="preserve">glej prilogo (ni Vzajemne poslovno sodelovanje)
</t>
        </r>
      </text>
    </comment>
  </commentList>
</comments>
</file>

<file path=xl/sharedStrings.xml><?xml version="1.0" encoding="utf-8"?>
<sst xmlns="http://schemas.openxmlformats.org/spreadsheetml/2006/main" count="491" uniqueCount="338">
  <si>
    <t xml:space="preserve"> </t>
  </si>
  <si>
    <t>KONTO</t>
  </si>
  <si>
    <t>2004/</t>
  </si>
  <si>
    <t>REAL</t>
  </si>
  <si>
    <t>NOMINAL.</t>
  </si>
  <si>
    <t>REALNA</t>
  </si>
  <si>
    <t>FINANČNI</t>
  </si>
  <si>
    <t>FINANČNI NAČRT</t>
  </si>
  <si>
    <t>INDKESI</t>
  </si>
  <si>
    <t>RAST</t>
  </si>
  <si>
    <t xml:space="preserve">NAČRT </t>
  </si>
  <si>
    <t>4=3/1</t>
  </si>
  <si>
    <t>MAKROFISKALNA IZHODIŠČA ZA OBDOBJE 2003 - 2007:</t>
  </si>
  <si>
    <t>DVIG PRISPEVNE STOPNJE</t>
  </si>
  <si>
    <t>LETNA RAST ŽIVLJENJSKIH STROŠKOV</t>
  </si>
  <si>
    <t>NOMINALNA RAST PRISPEVNE OSNOVE (MASE PLAČ)</t>
  </si>
  <si>
    <t>NOMINALNA RAST POVPREČNE PLAČE V REPUBLIKI SLOVENIJI</t>
  </si>
  <si>
    <t>REALNA RAST POVPREČNE PLAČE V REPUBLIKI SLOVENIJI</t>
  </si>
  <si>
    <t>NOMINALNA RAST OSNOVE ZA USKLAJEVANJE PLAČ V JAVNEM SEKTORJU</t>
  </si>
  <si>
    <t>REALNA RAST POVPREČNE PLAČE V ZDRAVSTVU</t>
  </si>
  <si>
    <t>RAST ZAPOSLENOSTI V SLOVENIJI</t>
  </si>
  <si>
    <t xml:space="preserve">RAST BREZPOSLENOSTI </t>
  </si>
  <si>
    <t>RAST ZAPOSLENOSTI V ZDRAVSTVU</t>
  </si>
  <si>
    <t>REALNA RAST ZASEBNE POTROŠNJE</t>
  </si>
  <si>
    <t>LETNA RAST CEN ZDRAVIL</t>
  </si>
  <si>
    <t>Boleznine - rast povprečne plače za preteklo leto</t>
  </si>
  <si>
    <t xml:space="preserve">REALNA RAST BOLEZNIN </t>
  </si>
  <si>
    <t>I.</t>
  </si>
  <si>
    <t xml:space="preserve">S K U P A J    P R I H O D K I  </t>
  </si>
  <si>
    <t xml:space="preserve">    -  udeležba  v  B D P v %</t>
  </si>
  <si>
    <t xml:space="preserve">   </t>
  </si>
  <si>
    <t xml:space="preserve">TEKOČI PRIHODKI </t>
  </si>
  <si>
    <t xml:space="preserve">    -  udeležba  v  B D P v %+D28+D343</t>
  </si>
  <si>
    <t xml:space="preserve">DAVČNI PRIHODKI        </t>
  </si>
  <si>
    <t>PRISPEVKI ZA SOCIALNO VARNOST</t>
  </si>
  <si>
    <t>Prispevki zaposlenih</t>
  </si>
  <si>
    <t>Prispevek za zdr.zav. -  od zaposlenih pri pravnih osebah</t>
  </si>
  <si>
    <t>Prispevek za zdr.zav.-  od zaposlenih pri fizicnih osebah</t>
  </si>
  <si>
    <t>Prispevek za zdr.zav. -  od zaposlenih pri tujem delodajalcu</t>
  </si>
  <si>
    <t>Prispevki delodajalcev</t>
  </si>
  <si>
    <t>Prispevek za zdr.zav. -  za zaposlene pri pravnih osebah</t>
  </si>
  <si>
    <t xml:space="preserve">Prispevek za poškodbe pri delu in poklicne bolezni </t>
  </si>
  <si>
    <t>Prispevek za zdr. zavar.za zaposlene pri fizičnih osebah</t>
  </si>
  <si>
    <t xml:space="preserve">Prispevki samozaposlenih </t>
  </si>
  <si>
    <t>Prispevek za zdr.zav. -  kmetov od katastrskega dohodka</t>
  </si>
  <si>
    <t>Prispevek za zdr.zav. -  kmetov, od osnove za pok.in inv.zav.</t>
  </si>
  <si>
    <t>Prispevek za zdr.zav.- oseb, ki plačujejo prisp. v pavšalu</t>
  </si>
  <si>
    <t>Prispevek za zdr.zav. - oseb, ki niso zavar. iz dr.nasl.</t>
  </si>
  <si>
    <t>Prispevek za poškodbe pri delu in poklicne bolezni kmetov</t>
  </si>
  <si>
    <t>Pavšalni prispevek za poškodbe pri delu in poklicne bolezni</t>
  </si>
  <si>
    <t>Prispevek za zdr.zav. - oseb, ki samost.opr.dejavn.</t>
  </si>
  <si>
    <t>Prispevek za zdr.zav. oseb, ki samost.opr.dejavn.</t>
  </si>
  <si>
    <t>Ostali prispevki za socialno varnost</t>
  </si>
  <si>
    <t>Zamudne obresti iz naslova prispevkov za zdrav.zavar.</t>
  </si>
  <si>
    <t>Pozneje placani odloženi prispevki za socialno varnost</t>
  </si>
  <si>
    <t>Pozneje plačani ukinjeni prispevki za socialno varnost</t>
  </si>
  <si>
    <t>Prisp.delojem.za zdr.zav.od nadomestil za porodniški dopust</t>
  </si>
  <si>
    <t>Prisp.delojem.za zdr.zav.od nadomestil za zaradi bolezenske</t>
  </si>
  <si>
    <t>odsotnosti, ki jih ZZZS neposredno izplačuje upravičencem</t>
  </si>
  <si>
    <t>Prisp.delojem.za zdr.zav.od nadomestil za čas brezposelnosti</t>
  </si>
  <si>
    <t>Prisp.delojem.za zdr.zav.od nadomestila za inval.</t>
  </si>
  <si>
    <t>NEDAVČNI  PRIHODKI</t>
  </si>
  <si>
    <t xml:space="preserve">UDELEŽBA NA DOBIČKU IN DOHODKI OD PREMOŽENJA </t>
  </si>
  <si>
    <t>Udeležba na dobičku javnih podjetij in javnih finanč.inst.</t>
  </si>
  <si>
    <t>Prihodki od udeležbe na dobičku drugih podjetij in finanč.inst.</t>
  </si>
  <si>
    <t>Prihodki od obresti</t>
  </si>
  <si>
    <t>Prihodki od premoženja</t>
  </si>
  <si>
    <t xml:space="preserve">DENARNE KAZNI </t>
  </si>
  <si>
    <t>Denarne kazni</t>
  </si>
  <si>
    <t>PRIHODKI OD PRODAJE BLAGA IN STORITEV</t>
  </si>
  <si>
    <t>Prihodki od prodaje blaga in storitev</t>
  </si>
  <si>
    <t>DRUGI NEDAVČNI PRIHODKI</t>
  </si>
  <si>
    <t>Drugi nedavčni prihodki</t>
  </si>
  <si>
    <t>Prihodki zdravstvenega zavarovanja iz naslova konvencij z dr.drž.</t>
  </si>
  <si>
    <t>Prihodki zdravstvenega zavarovanja iz naslova regres. zahtev.</t>
  </si>
  <si>
    <t>Drugi izredni nedavčni prihodki</t>
  </si>
  <si>
    <t xml:space="preserve">  </t>
  </si>
  <si>
    <t xml:space="preserve">KAPITALSKI PRIHODKI </t>
  </si>
  <si>
    <t>(720+721+722)</t>
  </si>
  <si>
    <t>PRIHODKI OD PRODAJE OSNOVNIH SREDSTEV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</si>
  <si>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</si>
  <si>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</si>
  <si>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</si>
  <si>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</si>
  <si>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ZEMLJIŠČ IN NEMATER.PREMOŽ.</t>
  </si>
  <si>
    <t>Prihodki od prodaje kmetijskih zemljišc in gozdov</t>
  </si>
  <si>
    <t>Prihodki od prodaje stavbnih zemljišc</t>
  </si>
  <si>
    <t>Prihodki od prodaje nematerialnega premozenja</t>
  </si>
  <si>
    <t>PREJETE DONACIJE</t>
  </si>
  <si>
    <t xml:space="preserve">PREJETE DONACIJE IZ DOMAČIH VIROV </t>
  </si>
  <si>
    <t xml:space="preserve">TRANSFERNI PRIHODKI    </t>
  </si>
  <si>
    <t>TRANSFERNI PRIHODKI IZ DRUGIH JAVNOFINANČNIH INSTITUCIJ</t>
  </si>
  <si>
    <t>Prejeta sredstva iz državnega proračuna</t>
  </si>
  <si>
    <t xml:space="preserve">Prispevek za zdravstveno zavarovanje brezposelnih oseb, </t>
  </si>
  <si>
    <t>ki ga plačuje Zavod za zaposlovanje RS</t>
  </si>
  <si>
    <t>Prispevek za zdravstveno zavarovanje oseb, za katere</t>
  </si>
  <si>
    <t>plačuje prispevek Republika Slovenija</t>
  </si>
  <si>
    <t>Prejeta sredstva iz naslova prispevka delodajalca za zdr.zavarov.</t>
  </si>
  <si>
    <t>od nadomestil za porodniški dopust</t>
  </si>
  <si>
    <t>od nadomestil za čas brezposelnosti</t>
  </si>
  <si>
    <t>Druga prejeta sredstva iz državnega proračuna</t>
  </si>
  <si>
    <t>Prisp.delod. Za pošk. Pri delu in pokl.bol. Voj. Obv.</t>
  </si>
  <si>
    <t>Prejeta sredstva iz proračunov lokalnih skupnosti</t>
  </si>
  <si>
    <t xml:space="preserve">Prejeta sredstva iz drugih skladov socialnega zavarovanja </t>
  </si>
  <si>
    <t xml:space="preserve">Prispevek za zdravstveno zavarovanje upokojencev, </t>
  </si>
  <si>
    <t>ki ga plačuje Zavod za pokojninsko in invalidsko zavarovanje</t>
  </si>
  <si>
    <t>od nadomestil zaradi bolezenske ods.,ki jih ZZZS neposred.izplačuje *</t>
  </si>
  <si>
    <t>od nadomestil iz invalidskega zavar.,ki jih ZPIZ neposred.izplačuje</t>
  </si>
  <si>
    <t>III.</t>
  </si>
  <si>
    <t xml:space="preserve">S K U P A J    O D H O D K I </t>
  </si>
  <si>
    <t xml:space="preserve">TEKOČI ODHODKI </t>
  </si>
  <si>
    <t>PLAČE IN DRUGI IZDATKI ZAPOSLENIM</t>
  </si>
  <si>
    <t>4000 Plače in dodatki</t>
  </si>
  <si>
    <t>4001 Regres za letni dopust</t>
  </si>
  <si>
    <t>4002 Povračila in nadomestila</t>
  </si>
  <si>
    <t>4003 Sredstva za delovno uspešnost</t>
  </si>
  <si>
    <t>4004 Sredstva za nadurno delo</t>
  </si>
  <si>
    <t>4005 Sredstva za delo po pogodbi</t>
  </si>
  <si>
    <t>4006 Jubilejne nagrade, odpravnine</t>
  </si>
  <si>
    <t>PRISPEVKI DELODAJALCEV ZA SOCIALNO VARNOST</t>
  </si>
  <si>
    <t>Prispevki za pokojninsko in invalidsko zavarovanje</t>
  </si>
  <si>
    <t>Prispevki za zdravstveno zavarovanje</t>
  </si>
  <si>
    <t>Prispevki za zaposlovanje</t>
  </si>
  <si>
    <t>Prispevki za porodniško varstvo</t>
  </si>
  <si>
    <t>Premije za dodatno kolektivno pokojninsko zavarovanje</t>
  </si>
  <si>
    <t>IZDATKI ZA BLAGO IN STORITVE :</t>
  </si>
  <si>
    <t>v tem:</t>
  </si>
  <si>
    <t xml:space="preserve">- pisarniški in splošni material in storitve od tega: </t>
  </si>
  <si>
    <t>- posebni material in storitve</t>
  </si>
  <si>
    <t>- energija, voda, komunalne storitve in komunikacije od tega:</t>
  </si>
  <si>
    <t>- prevozni stroški in storitve</t>
  </si>
  <si>
    <t>- izdatki za službena potovanja</t>
  </si>
  <si>
    <t>- tekoče vzdrževanje</t>
  </si>
  <si>
    <t>- najemnine in zakupnine (leasing)</t>
  </si>
  <si>
    <t>- kazni in odškodnine</t>
  </si>
  <si>
    <t>- davek na izplačane plače</t>
  </si>
  <si>
    <t>- drugi operativni odhodki od tega za:</t>
  </si>
  <si>
    <t>PLAČILA DOMAČIH OBRESTI</t>
  </si>
  <si>
    <t>TEKOČI TRANSFERI</t>
  </si>
  <si>
    <t>SUBVENCIJE</t>
  </si>
  <si>
    <t>Subvencije javnim podjetjem</t>
  </si>
  <si>
    <t>Subvencije financnim institucijam</t>
  </si>
  <si>
    <t>Subvencije privatnim podjetjem in zasebnikom</t>
  </si>
  <si>
    <t>TRANSFERI POSAMEZNIKOM IN GOSPODINJSTVOM</t>
  </si>
  <si>
    <t>Boleznine</t>
  </si>
  <si>
    <t>Boleznine, izplačane iz obveznega zdravstv.zavarovanja</t>
  </si>
  <si>
    <t>v tem:  - boleznine 1. Bruto</t>
  </si>
  <si>
    <t xml:space="preserve">             - prispevki delodajalca za boleznine</t>
  </si>
  <si>
    <t>Druge boleznine</t>
  </si>
  <si>
    <t>Štipendije</t>
  </si>
  <si>
    <t>Drugi transferi posameznikom</t>
  </si>
  <si>
    <t>Plačilo dnevnic, potnih stroš. in prevoz. v zvezi z zdravljenjem</t>
  </si>
  <si>
    <t>Plačilo pogrebnin</t>
  </si>
  <si>
    <t>Plačilo posmrtnin</t>
  </si>
  <si>
    <t>Drugi transferi posameznikom in gospodinjstvom (povračila za zdravljenje)</t>
  </si>
  <si>
    <t>TRANSFERI NEPROFITNIM ORGANIZACIJAM IN USTAN.</t>
  </si>
  <si>
    <t>Tekoči transferi neprofitnim organizacijam in ustanovam od tega:</t>
  </si>
  <si>
    <t xml:space="preserve">DRUGI TEKOČI DOMAČI TRANSFERI </t>
  </si>
  <si>
    <t xml:space="preserve">Tekoci transferi v druge sklade socialnega zavarovanja </t>
  </si>
  <si>
    <t>Plačila prispevka delodajalca za pokojninsko in inval.zavarovanje</t>
  </si>
  <si>
    <t>od nadomestil zaradi bolez.odsot.,ki jih ZZZS neposredno izplačuje</t>
  </si>
  <si>
    <t>Plačila prispevka delodajalca za zdravstveno zavarovanje</t>
  </si>
  <si>
    <t xml:space="preserve">od nadomestil zaradi bolez.odsot.,ki jih ZZZS neposredno izplačuje </t>
  </si>
  <si>
    <t>Tekoči transferi v javne zavode in druge izvajalce javnih</t>
  </si>
  <si>
    <t>Tekoči transferi v javne zavode - zdravstvene storitve skupaj</t>
  </si>
  <si>
    <t>Tekoči transferi v javne zavode - sredstva za plače</t>
  </si>
  <si>
    <t>Sredstva za plače - bolnišnice</t>
  </si>
  <si>
    <t>Sredstva za plače - zdravilišča</t>
  </si>
  <si>
    <t>Sredstva za plače - lekarne</t>
  </si>
  <si>
    <t>Sredstva za plače - socialni zavodi</t>
  </si>
  <si>
    <t>Tekoci transferi v javne zavode - sredstva za prisp.delodaj.</t>
  </si>
  <si>
    <t>Sredstva za prispevke delodajalca - zdravilišča</t>
  </si>
  <si>
    <t>Sredstva za prispevke delodajalca - lekarne</t>
  </si>
  <si>
    <t>Sredstva za prispevke delodajalca - socialni zavodi</t>
  </si>
  <si>
    <t>Sredstva za prispevke delodajalca - bolnišnice</t>
  </si>
  <si>
    <t>Tekoci transferi v javne zavode - za blago in storitve</t>
  </si>
  <si>
    <t>Sredstva za izdatke za blago in storitve - bolnišnice</t>
  </si>
  <si>
    <t>Sredstva za izdatke za blago in storitve - lekarne</t>
  </si>
  <si>
    <t>Sredstva za izdatke za blago in storitve - socialni zavodi</t>
  </si>
  <si>
    <t>Sredstva za izdatke za blago in storitev - zdravilišča</t>
  </si>
  <si>
    <t>Izdatki iz naslova konvencij</t>
  </si>
  <si>
    <t>Napredovanje razlika do polne letne vrednosti / (dod.prog v 2005)</t>
  </si>
  <si>
    <t>Dodatne zaposlitve skladno z reformo (osn., boln.)</t>
  </si>
  <si>
    <t>Dodatni programi skladno z reformo  (bolnišnične, str.)</t>
  </si>
  <si>
    <t>Učinki centralnega javnega naročanja (bolnišnic, mat. ,str.)</t>
  </si>
  <si>
    <t>Prenos inkontinenčnega program iz MTP med soc. zavode</t>
  </si>
  <si>
    <t xml:space="preserve">Izdatki za medicinsko tehnične pripomočke </t>
  </si>
  <si>
    <t>Izdatki za transfuzijo krvi, cepiva in sanitetni material</t>
  </si>
  <si>
    <t>Sredstva za premije za kolektivno dodatno pokojninsko zavarovanje</t>
  </si>
  <si>
    <t>Tekoci transferi v državni proračun</t>
  </si>
  <si>
    <t>Plačila prispevka delodajalca za zaposlovanje od nadomestil</t>
  </si>
  <si>
    <t>zaradi bolez.odsot.,ki jih ZZZS neposredno izplačuje</t>
  </si>
  <si>
    <t>Plačila prispevka delodajalca za porodniško varstvo od nadomestil</t>
  </si>
  <si>
    <t>TEKOČI TRANSFERI V TUJINO</t>
  </si>
  <si>
    <t>Tekoči transferi neprofitnim organizacijam v tujini</t>
  </si>
  <si>
    <t>Izdatki za zdravljenje v tujini</t>
  </si>
  <si>
    <t>Izdatki iz naslova konvencij z drugimi državami</t>
  </si>
  <si>
    <t>Drugi tekoči transferi v tujino</t>
  </si>
  <si>
    <t xml:space="preserve">    </t>
  </si>
  <si>
    <t xml:space="preserve">INVESTICIJSKI ODHODKI </t>
  </si>
  <si>
    <t>NAKUP IN GRADNJA OSNOVNIH SREDSTEV</t>
  </si>
  <si>
    <t>V.</t>
  </si>
  <si>
    <t>PRESEŽEK (PRIMANJKLJAJ)</t>
  </si>
  <si>
    <t>(SKUPAJ PRIHODKI MINUS  SKUPAJ ODHODKI)</t>
  </si>
  <si>
    <t>…</t>
  </si>
  <si>
    <t>B.    RAČUN  FINANČNIH  TERJATEV  IN  NALOŽB</t>
  </si>
  <si>
    <t xml:space="preserve">REAL </t>
  </si>
  <si>
    <t xml:space="preserve">PREJETA VRAČILA DANIH POSOJIL IN </t>
  </si>
  <si>
    <t>IV.</t>
  </si>
  <si>
    <t>PRODAJA KAPITALSKIH DELEŽEV</t>
  </si>
  <si>
    <t>(750+751)</t>
  </si>
  <si>
    <t xml:space="preserve">PREJETA VRAČILA DANIH POSOJIL </t>
  </si>
  <si>
    <t>Prejeta vracila danih posojil od posameznikov</t>
  </si>
  <si>
    <t xml:space="preserve">PRODAJA KAPITALSKIH DELEŽEV </t>
  </si>
  <si>
    <t xml:space="preserve">DANA POSOJILA IN POVEČANJE  </t>
  </si>
  <si>
    <t>KAPITALSKIH DELEŽEV</t>
  </si>
  <si>
    <t>DANA POSOJILA</t>
  </si>
  <si>
    <t xml:space="preserve">POVEČANJE KAPITALSKIH DELEŽEV </t>
  </si>
  <si>
    <t>VI.</t>
  </si>
  <si>
    <t>PREJETA MINUS DANA POSOJILA</t>
  </si>
  <si>
    <t>IN SPREMEMBE KAPITALSKIH DELEŽEV</t>
  </si>
  <si>
    <t xml:space="preserve"> (IV. - V.)</t>
  </si>
  <si>
    <t>C.    R A Č U N    F I N A N C I R A N J A</t>
  </si>
  <si>
    <t>VII.</t>
  </si>
  <si>
    <t>ZADOLŽEVANJE  (500+501)</t>
  </si>
  <si>
    <t>DOMAČE ZADOLŽEVANJE</t>
  </si>
  <si>
    <t>Najeti krediti pri  Banki Slovenije</t>
  </si>
  <si>
    <t>Najeti krediti pri poslovnih bankah</t>
  </si>
  <si>
    <t>Najeti krediti pri drugih finančnih institucijah</t>
  </si>
  <si>
    <t>Najeti krediti pri drugih domačih kreditodajalcih</t>
  </si>
  <si>
    <t>Sredstva, pridobljena z izdajo vrednostnih papirjev na domacem trgu</t>
  </si>
  <si>
    <t>ZADOLŽEVANJE V TUJINI</t>
  </si>
  <si>
    <t>Najeti krediti pri mednarodnih financnih institucijah</t>
  </si>
  <si>
    <t>Najeti krediti pri tujih vladah</t>
  </si>
  <si>
    <t>Najeti krediti pri tujih poslovnih bankah in financnih institucijah</t>
  </si>
  <si>
    <t>Najeti krediti pri drugih tujih kreditodajalcih</t>
  </si>
  <si>
    <t>Sredstva, pridobljena z izdajo vrednostnih papirjev v tujini</t>
  </si>
  <si>
    <t>VIII.</t>
  </si>
  <si>
    <t>ODPLAČILA  DOLGA  (550+551)</t>
  </si>
  <si>
    <t xml:space="preserve">ODPLAČILA DOMAČEGA DOLGA </t>
  </si>
  <si>
    <t>Odplacila kreditov Banki Slovenije</t>
  </si>
  <si>
    <t>Odplačila kreditov poslovnim bankam</t>
  </si>
  <si>
    <t>Odplačila kreditov drugim finančnim institucijam</t>
  </si>
  <si>
    <t>Odplačila kreditov drugim domačim kreditodajalcem</t>
  </si>
  <si>
    <t>Odplacila glavnice vrednostnih papirjev</t>
  </si>
  <si>
    <t>DOLG KONEC LETA (500-550)</t>
  </si>
  <si>
    <t>ODPLAČILA DOLGA V TUJINO</t>
  </si>
  <si>
    <t>Odplacila dolga mednarodnim financnim institucijam</t>
  </si>
  <si>
    <t xml:space="preserve">Odplacila dolga tujim vladam </t>
  </si>
  <si>
    <t>Odplacila dolga tujim bankam in financnim institucijam</t>
  </si>
  <si>
    <t>Odplacila dolga drugim tujim kreditodajalcem</t>
  </si>
  <si>
    <t>STANJE DOLGA  (KUMULATIVA)</t>
  </si>
  <si>
    <t>IX.</t>
  </si>
  <si>
    <t xml:space="preserve">POVEČANJE (ZMANJŠANJE) </t>
  </si>
  <si>
    <t>SREDSTEV NA RAČUNIH (I.+IV.+VII.-II.-V.-VIII.)</t>
  </si>
  <si>
    <t>X.</t>
  </si>
  <si>
    <t>NETO FINANCIRANJE  (VI.+VII.-VIII.-IX. = - III.)</t>
  </si>
  <si>
    <t>EVIDENČNO :</t>
  </si>
  <si>
    <t>BRUTO DOMAČI PROIZVOD</t>
  </si>
  <si>
    <t>A.   BILANCA PRIHODKOV IN ODHODKOV</t>
  </si>
  <si>
    <t xml:space="preserve">FINANČNI </t>
  </si>
  <si>
    <t>NAČRT</t>
  </si>
  <si>
    <t>JANUAR</t>
  </si>
  <si>
    <t>FEBRUAR</t>
  </si>
  <si>
    <t>MAREC</t>
  </si>
  <si>
    <t>APRIL</t>
  </si>
  <si>
    <t>MAJ</t>
  </si>
  <si>
    <t>JUNIJ</t>
  </si>
  <si>
    <t>JULIJ</t>
  </si>
  <si>
    <t>AVGUST</t>
  </si>
  <si>
    <t>SEPTEMBER</t>
  </si>
  <si>
    <t>OKTOBER</t>
  </si>
  <si>
    <t>NOVEMBER</t>
  </si>
  <si>
    <t>DECEMBER</t>
  </si>
  <si>
    <t xml:space="preserve">SKUPAJ </t>
  </si>
  <si>
    <t>I-XII 2004</t>
  </si>
  <si>
    <t>Povečanje transfernih prihodkov (prispevkov) na podlagi trenda v preteklih letih</t>
  </si>
  <si>
    <t>Povečanje izhodiščne plače</t>
  </si>
  <si>
    <t>Rast cen življenjskih potrebščin</t>
  </si>
  <si>
    <t>Povečanje odhodkov (boleznine) na podlagi trenda v preteklih letih</t>
  </si>
  <si>
    <t>Povečanje odhodkov (pogrebnine, posmrtnine) na podlagi trenda v preteklih letih</t>
  </si>
  <si>
    <t>Povečanje odhodkov (zdravila) na podlagi trenda v preteklih letih</t>
  </si>
  <si>
    <t>Povečanje odhodkov (tehnični pripomočki) na podlagi trenda v preteklih letih</t>
  </si>
  <si>
    <t>Izdatki za zdravila ( izdaja zdravil -za delo lekarn)</t>
  </si>
  <si>
    <t>Tekoča plačila drugim izvajalcem javnih služb, ki niso PU</t>
  </si>
  <si>
    <t>- osnovno zdravstveno varstvo</t>
  </si>
  <si>
    <t>- bolnišnice</t>
  </si>
  <si>
    <t>- zdravilišča</t>
  </si>
  <si>
    <t>- socialni zavodi</t>
  </si>
  <si>
    <t>Za zdravila</t>
  </si>
  <si>
    <t>za MTP</t>
  </si>
  <si>
    <t>Za cepiva, transfuzijo krvi in sanitetni material</t>
  </si>
  <si>
    <t>-posebne pravice iz OZZ</t>
  </si>
  <si>
    <t>za vojaške obv. na služenju vojaškega roka</t>
  </si>
  <si>
    <t>Sredstva za plače - osnovno zdravstveno dejavnost</t>
  </si>
  <si>
    <t>Sredstva za prispevke delodajalca - osnovno zdravstveno dejavnost</t>
  </si>
  <si>
    <t>Sredstva za izdatke za blago in storitve - osnovno zdravstveno dejavnost</t>
  </si>
  <si>
    <t>REALNA RAST POTROŠNJE MTP</t>
  </si>
  <si>
    <t>POGREBNINE, POSMRTNINE</t>
  </si>
  <si>
    <t>RAST  PLAČE - OSNOVNO ZDR. VARSTVO</t>
  </si>
  <si>
    <t>RAST PLAČE - BOLNIŠNICE</t>
  </si>
  <si>
    <t>RAST PLAČE - ZAVOD</t>
  </si>
  <si>
    <t>INFLACIJA - BONIŠNICE</t>
  </si>
  <si>
    <t>INFLACIJA - OSNOVNO ZDR. VARSTVO</t>
  </si>
  <si>
    <t>2004 raz./</t>
  </si>
  <si>
    <t>2004 raz/</t>
  </si>
  <si>
    <t>projekcija&gt;&gt;&gt;&gt;</t>
  </si>
  <si>
    <t>REAL/PROJ</t>
  </si>
  <si>
    <t>SKUPAJ 2004</t>
  </si>
  <si>
    <t xml:space="preserve">                       BILANCA ZAVODA ZA ZDRAVSTVENO ZAVAROVANJE SLOVENIJE</t>
  </si>
  <si>
    <t>Prispevek za zdravstveno zavarovanje oseb, za katere plač. Prispevek Občina</t>
  </si>
  <si>
    <t>FN preraz/</t>
  </si>
  <si>
    <t xml:space="preserve">ODSTOPANJA </t>
  </si>
  <si>
    <t>v tisoč SIT</t>
  </si>
  <si>
    <t>ABS. RAZLIKA</t>
  </si>
  <si>
    <t>OCENA 2003</t>
  </si>
  <si>
    <t>3=2-1</t>
  </si>
  <si>
    <t>6=5/2</t>
  </si>
  <si>
    <t>7=5-4</t>
  </si>
  <si>
    <t>bolnice - matrerial</t>
  </si>
  <si>
    <t>investic odhodki</t>
  </si>
  <si>
    <t>nižji stroški obresti - prerazporediti na:</t>
  </si>
  <si>
    <t>V LETU 2004</t>
  </si>
  <si>
    <t>Prerazporeditev za fn 2004 (povečamo soc domove, zmanjšamo osnovno dejavnost</t>
  </si>
  <si>
    <t>plače</t>
  </si>
  <si>
    <t>prisp</t>
  </si>
  <si>
    <t>mat. str.</t>
  </si>
  <si>
    <t>osnovno</t>
  </si>
  <si>
    <t>soc.zavodi</t>
  </si>
  <si>
    <t>skupaj</t>
  </si>
  <si>
    <t>povečamo še zdr. v tujini</t>
  </si>
  <si>
    <t>-</t>
  </si>
  <si>
    <t>+</t>
  </si>
  <si>
    <t xml:space="preserve">       TABELA 1</t>
  </si>
  <si>
    <t xml:space="preserve">real I-VIII </t>
  </si>
  <si>
    <t>+proj 2003</t>
  </si>
  <si>
    <t>prerazpor.</t>
  </si>
  <si>
    <t xml:space="preserve">               PRERAZPOREDITEV SREDSTEV V OKVIRU FINANČNEGA NAČRTA ZA LETO 2004</t>
  </si>
</sst>
</file>

<file path=xl/styles.xml><?xml version="1.0" encoding="utf-8"?>
<styleSheet xmlns="http://schemas.openxmlformats.org/spreadsheetml/2006/main">
  <numFmts count="4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L&quot;#,##0;\-&quot;L&quot;#,##0"/>
    <numFmt numFmtId="165" formatCode="&quot;L&quot;#,##0;[Red]\-&quot;L&quot;#,##0"/>
    <numFmt numFmtId="166" formatCode="&quot;L&quot;#,##0.00;\-&quot;L&quot;#,##0.00"/>
    <numFmt numFmtId="167" formatCode="&quot;L&quot;#,##0.00;[Red]\-&quot;L&quot;#,##0.00"/>
    <numFmt numFmtId="168" formatCode="_-&quot;L&quot;* #,##0_-;\-&quot;L&quot;* #,##0_-;_-&quot;L&quot;* &quot;-&quot;_-;_-@_-"/>
    <numFmt numFmtId="169" formatCode="_-* #,##0_-;\-* #,##0_-;_-* &quot;-&quot;_-;_-@_-"/>
    <numFmt numFmtId="170" formatCode="_-&quot;L&quot;* #,##0.00_-;\-&quot;L&quot;* #,##0.00_-;_-&quot;L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\ ;\(&quot;$&quot;#,##0\)"/>
    <numFmt numFmtId="181" formatCode="&quot;$&quot;#,##0\ ;[Red]\(&quot;$&quot;#,##0\)"/>
    <numFmt numFmtId="182" formatCode="&quot;$&quot;#,##0.00\ ;\(&quot;$&quot;#,##0.00\)"/>
    <numFmt numFmtId="183" formatCode="&quot;$&quot;#,##0.00\ ;[Red]\(&quot;$&quot;#,##0.00\)"/>
    <numFmt numFmtId="184" formatCode="m/d"/>
    <numFmt numFmtId="185" formatCode="#,##0.0"/>
    <numFmt numFmtId="186" formatCode="0.0"/>
    <numFmt numFmtId="187" formatCode="0.000000"/>
    <numFmt numFmtId="188" formatCode="0.00000"/>
    <numFmt numFmtId="189" formatCode="0.0000"/>
    <numFmt numFmtId="190" formatCode="0.000"/>
    <numFmt numFmtId="191" formatCode="#,##0.00000"/>
    <numFmt numFmtId="192" formatCode="#,##0.0000"/>
    <numFmt numFmtId="193" formatCode="#,##0.000"/>
    <numFmt numFmtId="194" formatCode="0.0%"/>
    <numFmt numFmtId="195" formatCode="#,##0.0000000"/>
  </numFmts>
  <fonts count="52">
    <font>
      <sz val="10"/>
      <color indexed="24"/>
      <name val="Arial"/>
      <family val="0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sz val="10"/>
      <color indexed="24"/>
      <name val="Arial CE"/>
      <family val="0"/>
    </font>
    <font>
      <sz val="10"/>
      <color indexed="8"/>
      <name val="Arial"/>
      <family val="0"/>
    </font>
    <font>
      <b/>
      <sz val="12"/>
      <color indexed="8"/>
      <name val="Arial CE"/>
      <family val="0"/>
    </font>
    <font>
      <b/>
      <sz val="10"/>
      <color indexed="8"/>
      <name val="Arial"/>
      <family val="0"/>
    </font>
    <font>
      <sz val="12"/>
      <color indexed="8"/>
      <name val="Arial CE"/>
      <family val="2"/>
    </font>
    <font>
      <b/>
      <sz val="14"/>
      <color indexed="8"/>
      <name val="Arial CE"/>
      <family val="2"/>
    </font>
    <font>
      <b/>
      <sz val="16"/>
      <color indexed="8"/>
      <name val="Arial CE"/>
      <family val="2"/>
    </font>
    <font>
      <b/>
      <sz val="13"/>
      <color indexed="8"/>
      <name val="Arial CE"/>
      <family val="2"/>
    </font>
    <font>
      <b/>
      <sz val="10"/>
      <color indexed="8"/>
      <name val="Arial CE"/>
      <family val="2"/>
    </font>
    <font>
      <sz val="13"/>
      <color indexed="8"/>
      <name val="Arial CE"/>
      <family val="2"/>
    </font>
    <font>
      <i/>
      <sz val="10"/>
      <color indexed="8"/>
      <name val="Arial CE"/>
      <family val="2"/>
    </font>
    <font>
      <sz val="20"/>
      <color indexed="24"/>
      <name val="Arial"/>
      <family val="2"/>
    </font>
    <font>
      <b/>
      <i/>
      <sz val="11"/>
      <color indexed="8"/>
      <name val="Arial CE"/>
      <family val="2"/>
    </font>
    <font>
      <sz val="14"/>
      <color indexed="8"/>
      <name val="Arial CE"/>
      <family val="2"/>
    </font>
    <font>
      <b/>
      <sz val="22"/>
      <name val="Arial CE"/>
      <family val="2"/>
    </font>
    <font>
      <sz val="12"/>
      <name val="Arial CE"/>
      <family val="2"/>
    </font>
    <font>
      <sz val="16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2"/>
      <color indexed="8"/>
      <name val="Arial CE"/>
      <family val="2"/>
    </font>
    <font>
      <u val="single"/>
      <sz val="12"/>
      <color indexed="8"/>
      <name val="Arial CE"/>
      <family val="2"/>
    </font>
    <font>
      <b/>
      <u val="single"/>
      <sz val="12"/>
      <color indexed="8"/>
      <name val="Arial CE"/>
      <family val="2"/>
    </font>
    <font>
      <b/>
      <sz val="26"/>
      <name val="Arial CE"/>
      <family val="2"/>
    </font>
    <font>
      <b/>
      <sz val="24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i/>
      <sz val="12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color indexed="9"/>
      <name val="Arial CE"/>
      <family val="2"/>
    </font>
    <font>
      <i/>
      <sz val="12"/>
      <color indexed="8"/>
      <name val="Arial CE"/>
      <family val="2"/>
    </font>
    <font>
      <sz val="12"/>
      <color indexed="8"/>
      <name val="Arial"/>
      <family val="0"/>
    </font>
    <font>
      <sz val="8"/>
      <name val="Tahoma"/>
      <family val="0"/>
    </font>
    <font>
      <b/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9"/>
      <name val="Arial CE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b/>
      <sz val="12"/>
      <name val="Arial CE SLO"/>
      <family val="0"/>
    </font>
    <font>
      <b/>
      <sz val="12"/>
      <color indexed="56"/>
      <name val="Arial CE"/>
      <family val="2"/>
    </font>
    <font>
      <b/>
      <i/>
      <sz val="12"/>
      <color indexed="10"/>
      <name val="Arial CE"/>
      <family val="0"/>
    </font>
    <font>
      <b/>
      <i/>
      <u val="single"/>
      <sz val="12"/>
      <color indexed="10"/>
      <name val="Arial CE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 style="thin"/>
      <right style="medium"/>
      <top style="thick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ck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182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58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7" fillId="2" borderId="0" xfId="0" applyFont="1" applyFill="1" applyBorder="1" applyAlignment="1">
      <alignment horizontal="centerContinuous"/>
    </xf>
    <xf numFmtId="3" fontId="5" fillId="0" borderId="2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0" applyFont="1" applyAlignment="1" quotePrefix="1">
      <alignment/>
    </xf>
    <xf numFmtId="0" fontId="8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/>
    </xf>
    <xf numFmtId="3" fontId="16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Alignment="1">
      <alignment/>
    </xf>
    <xf numFmtId="9" fontId="4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25" fillId="3" borderId="0" xfId="0" applyFont="1" applyFill="1" applyBorder="1" applyAlignment="1">
      <alignment horizontal="centerContinuous"/>
    </xf>
    <xf numFmtId="0" fontId="26" fillId="3" borderId="0" xfId="0" applyFont="1" applyFill="1" applyBorder="1" applyAlignment="1">
      <alignment horizontal="centerContinuous"/>
    </xf>
    <xf numFmtId="0" fontId="27" fillId="3" borderId="0" xfId="0" applyFont="1" applyFill="1" applyBorder="1" applyAlignment="1">
      <alignment horizontal="centerContinuous"/>
    </xf>
    <xf numFmtId="0" fontId="28" fillId="3" borderId="0" xfId="0" applyFont="1" applyFill="1" applyBorder="1" applyAlignment="1">
      <alignment horizontal="centerContinuous"/>
    </xf>
    <xf numFmtId="0" fontId="33" fillId="3" borderId="0" xfId="0" applyFont="1" applyFill="1" applyBorder="1" applyAlignment="1">
      <alignment horizontal="centerContinuous"/>
    </xf>
    <xf numFmtId="0" fontId="28" fillId="3" borderId="0" xfId="0" applyFont="1" applyFill="1" applyBorder="1" applyAlignment="1">
      <alignment/>
    </xf>
    <xf numFmtId="0" fontId="27" fillId="3" borderId="0" xfId="0" applyFont="1" applyFill="1" applyBorder="1" applyAlignment="1">
      <alignment horizontal="left"/>
    </xf>
    <xf numFmtId="14" fontId="28" fillId="3" borderId="0" xfId="0" applyNumberFormat="1" applyFont="1" applyFill="1" applyBorder="1" applyAlignment="1">
      <alignment horizontal="centerContinuous"/>
    </xf>
    <xf numFmtId="0" fontId="26" fillId="3" borderId="0" xfId="0" applyFont="1" applyFill="1" applyBorder="1" applyAlignment="1">
      <alignment horizontal="left"/>
    </xf>
    <xf numFmtId="0" fontId="8" fillId="3" borderId="0" xfId="0" applyFont="1" applyFill="1" applyAlignment="1" applyProtection="1">
      <alignment/>
      <protection/>
    </xf>
    <xf numFmtId="0" fontId="20" fillId="3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 horizontal="center"/>
      <protection/>
    </xf>
    <xf numFmtId="0" fontId="29" fillId="4" borderId="4" xfId="0" applyFont="1" applyFill="1" applyBorder="1" applyAlignment="1" applyProtection="1">
      <alignment horizontal="centerContinuous"/>
      <protection/>
    </xf>
    <xf numFmtId="0" fontId="30" fillId="4" borderId="5" xfId="0" applyFont="1" applyFill="1" applyBorder="1" applyAlignment="1" applyProtection="1">
      <alignment horizontal="centerContinuous"/>
      <protection/>
    </xf>
    <xf numFmtId="0" fontId="4" fillId="4" borderId="6" xfId="0" applyFont="1" applyFill="1" applyBorder="1" applyAlignment="1" applyProtection="1">
      <alignment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10" fillId="4" borderId="7" xfId="0" applyFont="1" applyFill="1" applyBorder="1" applyAlignment="1" applyProtection="1">
      <alignment horizontal="center" vertical="center" wrapText="1"/>
      <protection/>
    </xf>
    <xf numFmtId="0" fontId="8" fillId="4" borderId="7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Continuous" vertical="center" wrapText="1"/>
      <protection/>
    </xf>
    <xf numFmtId="0" fontId="11" fillId="4" borderId="7" xfId="0" applyFont="1" applyFill="1" applyBorder="1" applyAlignment="1" applyProtection="1">
      <alignment horizontal="center"/>
      <protection/>
    </xf>
    <xf numFmtId="0" fontId="11" fillId="4" borderId="5" xfId="0" applyFont="1" applyFill="1" applyBorder="1" applyAlignment="1" applyProtection="1">
      <alignment horizontal="center"/>
      <protection/>
    </xf>
    <xf numFmtId="0" fontId="29" fillId="4" borderId="8" xfId="0" applyFont="1" applyFill="1" applyBorder="1" applyAlignment="1" applyProtection="1">
      <alignment horizontal="centerContinuous"/>
      <protection/>
    </xf>
    <xf numFmtId="0" fontId="30" fillId="4" borderId="9" xfId="0" applyFont="1" applyFill="1" applyBorder="1" applyAlignment="1" applyProtection="1">
      <alignment horizontal="centerContinuous"/>
      <protection/>
    </xf>
    <xf numFmtId="0" fontId="20" fillId="4" borderId="10" xfId="0" applyFont="1" applyFill="1" applyBorder="1" applyAlignment="1" applyProtection="1" quotePrefix="1">
      <alignment/>
      <protection/>
    </xf>
    <xf numFmtId="0" fontId="8" fillId="4" borderId="11" xfId="0" applyFont="1" applyFill="1" applyBorder="1" applyAlignment="1" applyProtection="1">
      <alignment horizontal="center" vertical="center"/>
      <protection/>
    </xf>
    <xf numFmtId="0" fontId="8" fillId="4" borderId="11" xfId="0" applyFont="1" applyFill="1" applyBorder="1" applyAlignment="1" applyProtection="1">
      <alignment horizontal="center" vertical="center" wrapText="1"/>
      <protection/>
    </xf>
    <xf numFmtId="0" fontId="9" fillId="4" borderId="11" xfId="0" applyFont="1" applyFill="1" applyBorder="1" applyAlignment="1" applyProtection="1">
      <alignment horizontal="centerContinuous" vertical="center"/>
      <protection/>
    </xf>
    <xf numFmtId="0" fontId="11" fillId="4" borderId="11" xfId="0" applyFont="1" applyFill="1" applyBorder="1" applyAlignment="1" applyProtection="1">
      <alignment horizontal="center"/>
      <protection/>
    </xf>
    <xf numFmtId="0" fontId="11" fillId="4" borderId="9" xfId="0" applyFont="1" applyFill="1" applyBorder="1" applyAlignment="1" applyProtection="1">
      <alignment horizontal="center"/>
      <protection/>
    </xf>
    <xf numFmtId="0" fontId="11" fillId="4" borderId="8" xfId="0" applyFont="1" applyFill="1" applyBorder="1" applyAlignment="1" applyProtection="1">
      <alignment horizontal="center"/>
      <protection/>
    </xf>
    <xf numFmtId="0" fontId="8" fillId="4" borderId="11" xfId="0" applyFont="1" applyFill="1" applyBorder="1" applyAlignment="1" applyProtection="1">
      <alignment horizontal="centerContinuous" vertical="center"/>
      <protection/>
    </xf>
    <xf numFmtId="0" fontId="29" fillId="4" borderId="12" xfId="0" applyFont="1" applyFill="1" applyBorder="1" applyAlignment="1" applyProtection="1">
      <alignment horizontal="centerContinuous"/>
      <protection/>
    </xf>
    <xf numFmtId="0" fontId="30" fillId="4" borderId="13" xfId="0" applyFont="1" applyFill="1" applyBorder="1" applyAlignment="1" applyProtection="1">
      <alignment horizontal="centerContinuous"/>
      <protection/>
    </xf>
    <xf numFmtId="0" fontId="20" fillId="4" borderId="14" xfId="0" applyFont="1" applyFill="1" applyBorder="1" applyAlignment="1" applyProtection="1" quotePrefix="1">
      <alignment/>
      <protection/>
    </xf>
    <xf numFmtId="0" fontId="8" fillId="4" borderId="15" xfId="0" applyFont="1" applyFill="1" applyBorder="1" applyAlignment="1" applyProtection="1">
      <alignment horizontal="centerContinuous" vertical="center"/>
      <protection/>
    </xf>
    <xf numFmtId="0" fontId="11" fillId="4" borderId="15" xfId="0" applyFont="1" applyFill="1" applyBorder="1" applyAlignment="1" applyProtection="1">
      <alignment horizontal="center"/>
      <protection/>
    </xf>
    <xf numFmtId="0" fontId="11" fillId="4" borderId="13" xfId="0" applyFont="1" applyFill="1" applyBorder="1" applyAlignment="1" applyProtection="1">
      <alignment horizontal="center"/>
      <protection/>
    </xf>
    <xf numFmtId="0" fontId="20" fillId="0" borderId="16" xfId="0" applyFont="1" applyBorder="1" applyAlignment="1" applyProtection="1">
      <alignment/>
      <protection/>
    </xf>
    <xf numFmtId="0" fontId="20" fillId="0" borderId="17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19" xfId="0" applyFont="1" applyBorder="1" applyAlignment="1" applyProtection="1" quotePrefix="1">
      <alignment horizontal="center"/>
      <protection/>
    </xf>
    <xf numFmtId="0" fontId="20" fillId="0" borderId="17" xfId="0" applyFont="1" applyBorder="1" applyAlignment="1" applyProtection="1">
      <alignment horizontal="center"/>
      <protection/>
    </xf>
    <xf numFmtId="0" fontId="20" fillId="5" borderId="20" xfId="0" applyFont="1" applyFill="1" applyBorder="1" applyAlignment="1" applyProtection="1">
      <alignment/>
      <protection/>
    </xf>
    <xf numFmtId="0" fontId="15" fillId="5" borderId="21" xfId="0" applyFont="1" applyFill="1" applyBorder="1" applyAlignment="1" applyProtection="1">
      <alignment/>
      <protection/>
    </xf>
    <xf numFmtId="0" fontId="20" fillId="5" borderId="22" xfId="0" applyFont="1" applyFill="1" applyBorder="1" applyAlignment="1" applyProtection="1">
      <alignment/>
      <protection/>
    </xf>
    <xf numFmtId="0" fontId="16" fillId="5" borderId="23" xfId="0" applyFont="1" applyFill="1" applyBorder="1" applyAlignment="1" applyProtection="1">
      <alignment/>
      <protection/>
    </xf>
    <xf numFmtId="186" fontId="8" fillId="5" borderId="23" xfId="0" applyNumberFormat="1" applyFont="1" applyFill="1" applyBorder="1" applyAlignment="1" applyProtection="1">
      <alignment horizontal="center"/>
      <protection/>
    </xf>
    <xf numFmtId="186" fontId="8" fillId="5" borderId="21" xfId="0" applyNumberFormat="1" applyFont="1" applyFill="1" applyBorder="1" applyAlignment="1" applyProtection="1">
      <alignment/>
      <protection/>
    </xf>
    <xf numFmtId="0" fontId="20" fillId="0" borderId="20" xfId="0" applyFont="1" applyBorder="1" applyAlignment="1" applyProtection="1">
      <alignment/>
      <protection/>
    </xf>
    <xf numFmtId="0" fontId="15" fillId="0" borderId="21" xfId="0" applyFont="1" applyFill="1" applyBorder="1" applyAlignment="1" applyProtection="1">
      <alignment/>
      <protection/>
    </xf>
    <xf numFmtId="0" fontId="20" fillId="0" borderId="22" xfId="0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0" fontId="20" fillId="0" borderId="21" xfId="0" applyFont="1" applyBorder="1" applyAlignment="1" applyProtection="1">
      <alignment/>
      <protection/>
    </xf>
    <xf numFmtId="0" fontId="20" fillId="6" borderId="20" xfId="0" applyFont="1" applyFill="1" applyBorder="1" applyAlignment="1" applyProtection="1">
      <alignment/>
      <protection/>
    </xf>
    <xf numFmtId="0" fontId="15" fillId="6" borderId="21" xfId="0" applyFont="1" applyFill="1" applyBorder="1" applyAlignment="1" applyProtection="1">
      <alignment/>
      <protection/>
    </xf>
    <xf numFmtId="0" fontId="20" fillId="6" borderId="22" xfId="0" applyFont="1" applyFill="1" applyBorder="1" applyAlignment="1" applyProtection="1">
      <alignment/>
      <protection/>
    </xf>
    <xf numFmtId="0" fontId="20" fillId="6" borderId="23" xfId="0" applyFont="1" applyFill="1" applyBorder="1" applyAlignment="1" applyProtection="1">
      <alignment/>
      <protection/>
    </xf>
    <xf numFmtId="0" fontId="20" fillId="6" borderId="21" xfId="0" applyFont="1" applyFill="1" applyBorder="1" applyAlignment="1" applyProtection="1">
      <alignment/>
      <protection/>
    </xf>
    <xf numFmtId="0" fontId="32" fillId="6" borderId="22" xfId="0" applyFont="1" applyFill="1" applyBorder="1" applyAlignment="1" applyProtection="1">
      <alignment/>
      <protection/>
    </xf>
    <xf numFmtId="186" fontId="5" fillId="6" borderId="23" xfId="0" applyNumberFormat="1" applyFont="1" applyFill="1" applyBorder="1" applyAlignment="1" applyProtection="1">
      <alignment/>
      <protection/>
    </xf>
    <xf numFmtId="186" fontId="5" fillId="6" borderId="21" xfId="0" applyNumberFormat="1" applyFont="1" applyFill="1" applyBorder="1" applyAlignment="1" applyProtection="1">
      <alignment/>
      <protection/>
    </xf>
    <xf numFmtId="0" fontId="13" fillId="6" borderId="22" xfId="0" applyFont="1" applyFill="1" applyBorder="1" applyAlignment="1" applyProtection="1">
      <alignment/>
      <protection/>
    </xf>
    <xf numFmtId="186" fontId="7" fillId="6" borderId="23" xfId="0" applyNumberFormat="1" applyFont="1" applyFill="1" applyBorder="1" applyAlignment="1" applyProtection="1">
      <alignment/>
      <protection/>
    </xf>
    <xf numFmtId="186" fontId="7" fillId="6" borderId="21" xfId="0" applyNumberFormat="1" applyFont="1" applyFill="1" applyBorder="1" applyAlignment="1" applyProtection="1">
      <alignment/>
      <protection/>
    </xf>
    <xf numFmtId="0" fontId="7" fillId="6" borderId="23" xfId="0" applyFont="1" applyFill="1" applyBorder="1" applyAlignment="1" applyProtection="1">
      <alignment/>
      <protection/>
    </xf>
    <xf numFmtId="186" fontId="7" fillId="6" borderId="23" xfId="0" applyNumberFormat="1" applyFont="1" applyFill="1" applyBorder="1" applyAlignment="1" applyProtection="1">
      <alignment horizontal="right"/>
      <protection/>
    </xf>
    <xf numFmtId="0" fontId="20" fillId="6" borderId="23" xfId="0" applyFont="1" applyFill="1" applyBorder="1" applyAlignment="1" applyProtection="1">
      <alignment horizontal="right"/>
      <protection/>
    </xf>
    <xf numFmtId="0" fontId="20" fillId="6" borderId="21" xfId="0" applyFont="1" applyFill="1" applyBorder="1" applyAlignment="1" applyProtection="1">
      <alignment horizontal="right"/>
      <protection/>
    </xf>
    <xf numFmtId="186" fontId="7" fillId="6" borderId="23" xfId="0" applyNumberFormat="1" applyFont="1" applyFill="1" applyBorder="1" applyAlignment="1" applyProtection="1">
      <alignment/>
      <protection/>
    </xf>
    <xf numFmtId="0" fontId="20" fillId="6" borderId="23" xfId="0" applyFont="1" applyFill="1" applyBorder="1" applyAlignment="1" applyProtection="1">
      <alignment/>
      <protection/>
    </xf>
    <xf numFmtId="0" fontId="20" fillId="6" borderId="21" xfId="0" applyFont="1" applyFill="1" applyBorder="1" applyAlignment="1" applyProtection="1">
      <alignment/>
      <protection/>
    </xf>
    <xf numFmtId="0" fontId="20" fillId="6" borderId="24" xfId="0" applyFont="1" applyFill="1" applyBorder="1" applyAlignment="1" applyProtection="1">
      <alignment/>
      <protection/>
    </xf>
    <xf numFmtId="0" fontId="20" fillId="6" borderId="25" xfId="0" applyFont="1" applyFill="1" applyBorder="1" applyAlignment="1" applyProtection="1">
      <alignment/>
      <protection/>
    </xf>
    <xf numFmtId="186" fontId="7" fillId="6" borderId="23" xfId="0" applyNumberFormat="1" applyFont="1" applyFill="1" applyBorder="1" applyAlignment="1" applyProtection="1">
      <alignment horizontal="center"/>
      <protection/>
    </xf>
    <xf numFmtId="0" fontId="7" fillId="6" borderId="21" xfId="0" applyFont="1" applyFill="1" applyBorder="1" applyAlignment="1" applyProtection="1">
      <alignment/>
      <protection/>
    </xf>
    <xf numFmtId="0" fontId="7" fillId="6" borderId="2" xfId="0" applyFont="1" applyFill="1" applyBorder="1" applyAlignment="1" applyProtection="1">
      <alignment/>
      <protection/>
    </xf>
    <xf numFmtId="0" fontId="47" fillId="6" borderId="26" xfId="0" applyFont="1" applyFill="1" applyBorder="1" applyAlignment="1" applyProtection="1">
      <alignment/>
      <protection/>
    </xf>
    <xf numFmtId="186" fontId="5" fillId="6" borderId="23" xfId="0" applyNumberFormat="1" applyFont="1" applyFill="1" applyBorder="1" applyAlignment="1" applyProtection="1">
      <alignment horizontal="center"/>
      <protection/>
    </xf>
    <xf numFmtId="0" fontId="11" fillId="6" borderId="23" xfId="0" applyFont="1" applyFill="1" applyBorder="1" applyAlignment="1" applyProtection="1">
      <alignment/>
      <protection/>
    </xf>
    <xf numFmtId="190" fontId="5" fillId="6" borderId="23" xfId="0" applyNumberFormat="1" applyFont="1" applyFill="1" applyBorder="1" applyAlignment="1" applyProtection="1">
      <alignment horizontal="center"/>
      <protection/>
    </xf>
    <xf numFmtId="190" fontId="20" fillId="6" borderId="23" xfId="0" applyNumberFormat="1" applyFont="1" applyFill="1" applyBorder="1" applyAlignment="1" applyProtection="1">
      <alignment/>
      <protection/>
    </xf>
    <xf numFmtId="0" fontId="47" fillId="6" borderId="27" xfId="0" applyFont="1" applyFill="1" applyBorder="1" applyAlignment="1" applyProtection="1">
      <alignment/>
      <protection/>
    </xf>
    <xf numFmtId="0" fontId="5" fillId="5" borderId="28" xfId="0" applyFont="1" applyFill="1" applyBorder="1" applyAlignment="1" applyProtection="1">
      <alignment horizontal="right"/>
      <protection/>
    </xf>
    <xf numFmtId="0" fontId="5" fillId="5" borderId="25" xfId="0" applyFont="1" applyFill="1" applyBorder="1" applyAlignment="1" applyProtection="1">
      <alignment/>
      <protection/>
    </xf>
    <xf numFmtId="0" fontId="24" fillId="5" borderId="29" xfId="0" applyFont="1" applyFill="1" applyBorder="1" applyAlignment="1" applyProtection="1">
      <alignment/>
      <protection/>
    </xf>
    <xf numFmtId="3" fontId="5" fillId="5" borderId="2" xfId="0" applyNumberFormat="1" applyFont="1" applyFill="1" applyBorder="1" applyAlignment="1" applyProtection="1">
      <alignment/>
      <protection/>
    </xf>
    <xf numFmtId="185" fontId="7" fillId="5" borderId="2" xfId="0" applyNumberFormat="1" applyFont="1" applyFill="1" applyBorder="1" applyAlignment="1" applyProtection="1">
      <alignment/>
      <protection/>
    </xf>
    <xf numFmtId="185" fontId="7" fillId="5" borderId="25" xfId="0" applyNumberFormat="1" applyFont="1" applyFill="1" applyBorder="1" applyAlignment="1" applyProtection="1">
      <alignment/>
      <protection/>
    </xf>
    <xf numFmtId="0" fontId="7" fillId="7" borderId="28" xfId="0" applyFont="1" applyFill="1" applyBorder="1" applyAlignment="1" applyProtection="1">
      <alignment/>
      <protection/>
    </xf>
    <xf numFmtId="0" fontId="5" fillId="7" borderId="25" xfId="0" applyFont="1" applyFill="1" applyBorder="1" applyAlignment="1" applyProtection="1">
      <alignment/>
      <protection/>
    </xf>
    <xf numFmtId="0" fontId="22" fillId="7" borderId="29" xfId="0" applyFont="1" applyFill="1" applyBorder="1" applyAlignment="1" applyProtection="1">
      <alignment/>
      <protection/>
    </xf>
    <xf numFmtId="4" fontId="22" fillId="7" borderId="2" xfId="0" applyNumberFormat="1" applyFont="1" applyFill="1" applyBorder="1" applyAlignment="1" applyProtection="1">
      <alignment/>
      <protection/>
    </xf>
    <xf numFmtId="3" fontId="23" fillId="7" borderId="2" xfId="0" applyNumberFormat="1" applyFont="1" applyFill="1" applyBorder="1" applyAlignment="1" applyProtection="1">
      <alignment/>
      <protection/>
    </xf>
    <xf numFmtId="3" fontId="23" fillId="7" borderId="25" xfId="0" applyNumberFormat="1" applyFont="1" applyFill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/>
      <protection/>
    </xf>
    <xf numFmtId="3" fontId="7" fillId="0" borderId="25" xfId="0" applyNumberFormat="1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3" fontId="5" fillId="0" borderId="2" xfId="0" applyNumberFormat="1" applyFont="1" applyBorder="1" applyAlignment="1" applyProtection="1">
      <alignment/>
      <protection/>
    </xf>
    <xf numFmtId="185" fontId="7" fillId="2" borderId="2" xfId="0" applyNumberFormat="1" applyFont="1" applyFill="1" applyBorder="1" applyAlignment="1" applyProtection="1">
      <alignment/>
      <protection/>
    </xf>
    <xf numFmtId="185" fontId="7" fillId="2" borderId="25" xfId="0" applyNumberFormat="1" applyFont="1" applyFill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7" fillId="8" borderId="28" xfId="0" applyFont="1" applyFill="1" applyBorder="1" applyAlignment="1" applyProtection="1">
      <alignment/>
      <protection/>
    </xf>
    <xf numFmtId="0" fontId="5" fillId="8" borderId="25" xfId="0" applyFont="1" applyFill="1" applyBorder="1" applyAlignment="1" applyProtection="1">
      <alignment/>
      <protection/>
    </xf>
    <xf numFmtId="4" fontId="22" fillId="7" borderId="30" xfId="0" applyNumberFormat="1" applyFont="1" applyFill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49" fillId="0" borderId="29" xfId="0" applyFont="1" applyBorder="1" applyAlignment="1" applyProtection="1">
      <alignment/>
      <protection/>
    </xf>
    <xf numFmtId="3" fontId="7" fillId="0" borderId="25" xfId="22" applyNumberFormat="1" applyFont="1" applyFill="1" applyBorder="1" applyProtection="1">
      <alignment/>
      <protection/>
    </xf>
    <xf numFmtId="3" fontId="39" fillId="0" borderId="2" xfId="0" applyNumberFormat="1" applyFont="1" applyBorder="1" applyAlignment="1" applyProtection="1">
      <alignment/>
      <protection/>
    </xf>
    <xf numFmtId="3" fontId="49" fillId="0" borderId="2" xfId="0" applyNumberFormat="1" applyFont="1" applyBorder="1" applyAlignment="1" applyProtection="1">
      <alignment/>
      <protection/>
    </xf>
    <xf numFmtId="3" fontId="7" fillId="0" borderId="29" xfId="0" applyNumberFormat="1" applyFont="1" applyBorder="1" applyAlignment="1" applyProtection="1">
      <alignment/>
      <protection/>
    </xf>
    <xf numFmtId="3" fontId="7" fillId="0" borderId="25" xfId="0" applyNumberFormat="1" applyFont="1" applyBorder="1" applyAlignment="1" applyProtection="1">
      <alignment/>
      <protection/>
    </xf>
    <xf numFmtId="3" fontId="7" fillId="0" borderId="23" xfId="0" applyNumberFormat="1" applyFont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22" fillId="0" borderId="29" xfId="0" applyFont="1" applyFill="1" applyBorder="1" applyAlignment="1" applyProtection="1">
      <alignment/>
      <protection/>
    </xf>
    <xf numFmtId="4" fontId="22" fillId="0" borderId="2" xfId="0" applyNumberFormat="1" applyFont="1" applyFill="1" applyBorder="1" applyAlignment="1" applyProtection="1">
      <alignment/>
      <protection/>
    </xf>
    <xf numFmtId="3" fontId="23" fillId="0" borderId="2" xfId="0" applyNumberFormat="1" applyFont="1" applyFill="1" applyBorder="1" applyAlignment="1" applyProtection="1">
      <alignment/>
      <protection/>
    </xf>
    <xf numFmtId="3" fontId="23" fillId="0" borderId="25" xfId="0" applyNumberFormat="1" applyFont="1" applyFill="1" applyBorder="1" applyAlignment="1" applyProtection="1">
      <alignment/>
      <protection/>
    </xf>
    <xf numFmtId="3" fontId="40" fillId="0" borderId="2" xfId="0" applyNumberFormat="1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/>
      <protection/>
    </xf>
    <xf numFmtId="0" fontId="7" fillId="2" borderId="28" xfId="0" applyFont="1" applyFill="1" applyBorder="1" applyAlignment="1" applyProtection="1">
      <alignment/>
      <protection/>
    </xf>
    <xf numFmtId="0" fontId="7" fillId="2" borderId="25" xfId="0" applyFont="1" applyFill="1" applyBorder="1" applyAlignment="1" applyProtection="1">
      <alignment/>
      <protection/>
    </xf>
    <xf numFmtId="0" fontId="7" fillId="2" borderId="29" xfId="0" applyFont="1" applyFill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18" fillId="0" borderId="28" xfId="0" applyFont="1" applyFill="1" applyBorder="1" applyAlignment="1" applyProtection="1">
      <alignment horizontal="right"/>
      <protection/>
    </xf>
    <xf numFmtId="0" fontId="18" fillId="0" borderId="25" xfId="0" applyFont="1" applyFill="1" applyBorder="1" applyAlignment="1" applyProtection="1">
      <alignment horizontal="right"/>
      <protection/>
    </xf>
    <xf numFmtId="0" fontId="18" fillId="0" borderId="32" xfId="0" applyFont="1" applyFill="1" applyBorder="1" applyAlignment="1" applyProtection="1">
      <alignment horizontal="left"/>
      <protection/>
    </xf>
    <xf numFmtId="0" fontId="18" fillId="0" borderId="26" xfId="0" applyFont="1" applyFill="1" applyBorder="1" applyAlignment="1" applyProtection="1">
      <alignment horizontal="left"/>
      <protection/>
    </xf>
    <xf numFmtId="0" fontId="18" fillId="0" borderId="9" xfId="0" applyFont="1" applyFill="1" applyBorder="1" applyAlignment="1" applyProtection="1">
      <alignment horizontal="right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3" fontId="7" fillId="2" borderId="2" xfId="0" applyNumberFormat="1" applyFont="1" applyFill="1" applyBorder="1" applyAlignment="1" applyProtection="1">
      <alignment/>
      <protection/>
    </xf>
    <xf numFmtId="0" fontId="35" fillId="0" borderId="28" xfId="0" applyFont="1" applyFill="1" applyBorder="1" applyAlignment="1" applyProtection="1">
      <alignment horizontal="right"/>
      <protection/>
    </xf>
    <xf numFmtId="0" fontId="35" fillId="0" borderId="25" xfId="0" applyFont="1" applyFill="1" applyBorder="1" applyAlignment="1" applyProtection="1">
      <alignment/>
      <protection/>
    </xf>
    <xf numFmtId="0" fontId="43" fillId="0" borderId="29" xfId="0" applyFont="1" applyFill="1" applyBorder="1" applyAlignment="1" applyProtection="1">
      <alignment/>
      <protection/>
    </xf>
    <xf numFmtId="3" fontId="18" fillId="0" borderId="2" xfId="0" applyNumberFormat="1" applyFont="1" applyFill="1" applyBorder="1" applyAlignment="1" applyProtection="1">
      <alignment/>
      <protection/>
    </xf>
    <xf numFmtId="3" fontId="18" fillId="0" borderId="25" xfId="0" applyNumberFormat="1" applyFont="1" applyFill="1" applyBorder="1" applyAlignment="1" applyProtection="1">
      <alignment/>
      <protection/>
    </xf>
    <xf numFmtId="0" fontId="7" fillId="5" borderId="28" xfId="0" applyFont="1" applyFill="1" applyBorder="1" applyAlignment="1" applyProtection="1">
      <alignment horizontal="centerContinuous"/>
      <protection/>
    </xf>
    <xf numFmtId="3" fontId="34" fillId="0" borderId="2" xfId="0" applyNumberFormat="1" applyFont="1" applyBorder="1" applyAlignment="1" applyProtection="1">
      <alignment/>
      <protection/>
    </xf>
    <xf numFmtId="3" fontId="18" fillId="0" borderId="2" xfId="27" applyNumberFormat="1" applyFont="1" applyBorder="1" applyAlignment="1" applyProtection="1">
      <alignment/>
      <protection/>
    </xf>
    <xf numFmtId="3" fontId="7" fillId="0" borderId="2" xfId="27" applyNumberFormat="1" applyFont="1" applyBorder="1" applyAlignment="1" applyProtection="1">
      <alignment/>
      <protection/>
    </xf>
    <xf numFmtId="3" fontId="18" fillId="0" borderId="2" xfId="0" applyNumberFormat="1" applyFont="1" applyBorder="1" applyAlignment="1" applyProtection="1">
      <alignment/>
      <protection/>
    </xf>
    <xf numFmtId="3" fontId="36" fillId="0" borderId="2" xfId="0" applyNumberFormat="1" applyFont="1" applyBorder="1" applyAlignment="1" applyProtection="1">
      <alignment/>
      <protection/>
    </xf>
    <xf numFmtId="3" fontId="7" fillId="0" borderId="30" xfId="0" applyNumberFormat="1" applyFont="1" applyBorder="1" applyAlignment="1" applyProtection="1">
      <alignment/>
      <protection/>
    </xf>
    <xf numFmtId="185" fontId="7" fillId="2" borderId="30" xfId="0" applyNumberFormat="1" applyFont="1" applyFill="1" applyBorder="1" applyAlignment="1" applyProtection="1">
      <alignment/>
      <protection/>
    </xf>
    <xf numFmtId="185" fontId="7" fillId="2" borderId="31" xfId="0" applyNumberFormat="1" applyFont="1" applyFill="1" applyBorder="1" applyAlignment="1" applyProtection="1">
      <alignment/>
      <protection/>
    </xf>
    <xf numFmtId="0" fontId="18" fillId="0" borderId="29" xfId="0" applyFont="1" applyBorder="1" applyAlignment="1" applyProtection="1">
      <alignment/>
      <protection/>
    </xf>
    <xf numFmtId="3" fontId="18" fillId="0" borderId="25" xfId="0" applyNumberFormat="1" applyFont="1" applyBorder="1" applyAlignment="1" applyProtection="1">
      <alignment/>
      <protection/>
    </xf>
    <xf numFmtId="3" fontId="39" fillId="0" borderId="2" xfId="0" applyNumberFormat="1" applyFont="1" applyBorder="1" applyAlignment="1" applyProtection="1">
      <alignment/>
      <protection/>
    </xf>
    <xf numFmtId="3" fontId="7" fillId="0" borderId="29" xfId="0" applyNumberFormat="1" applyFont="1" applyBorder="1" applyAlignment="1" applyProtection="1">
      <alignment/>
      <protection/>
    </xf>
    <xf numFmtId="3" fontId="7" fillId="0" borderId="21" xfId="0" applyNumberFormat="1" applyFont="1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18" fillId="0" borderId="25" xfId="0" applyFont="1" applyFill="1" applyBorder="1" applyAlignment="1" applyProtection="1">
      <alignment/>
      <protection/>
    </xf>
    <xf numFmtId="0" fontId="7" fillId="0" borderId="26" xfId="0" applyFont="1" applyBorder="1" applyAlignment="1" applyProtection="1" quotePrefix="1">
      <alignment/>
      <protection/>
    </xf>
    <xf numFmtId="0" fontId="7" fillId="0" borderId="26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8" fillId="0" borderId="24" xfId="0" applyFont="1" applyFill="1" applyBorder="1" applyAlignment="1" applyProtection="1">
      <alignment horizontal="right"/>
      <protection/>
    </xf>
    <xf numFmtId="0" fontId="18" fillId="0" borderId="21" xfId="0" applyFont="1" applyFill="1" applyBorder="1" applyAlignment="1" applyProtection="1">
      <alignment/>
      <protection/>
    </xf>
    <xf numFmtId="0" fontId="18" fillId="0" borderId="27" xfId="0" applyFont="1" applyFill="1" applyBorder="1" applyAlignment="1" applyProtection="1">
      <alignment/>
      <protection/>
    </xf>
    <xf numFmtId="3" fontId="7" fillId="0" borderId="31" xfId="0" applyNumberFormat="1" applyFont="1" applyBorder="1" applyAlignment="1" applyProtection="1">
      <alignment/>
      <protection/>
    </xf>
    <xf numFmtId="3" fontId="34" fillId="0" borderId="25" xfId="0" applyNumberFormat="1" applyFont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/>
      <protection/>
    </xf>
    <xf numFmtId="185" fontId="7" fillId="0" borderId="2" xfId="0" applyNumberFormat="1" applyFont="1" applyFill="1" applyBorder="1" applyAlignment="1" applyProtection="1">
      <alignment/>
      <protection/>
    </xf>
    <xf numFmtId="185" fontId="7" fillId="0" borderId="25" xfId="0" applyNumberFormat="1" applyFont="1" applyFill="1" applyBorder="1" applyAlignment="1" applyProtection="1">
      <alignment/>
      <protection/>
    </xf>
    <xf numFmtId="3" fontId="18" fillId="0" borderId="30" xfId="0" applyNumberFormat="1" applyFont="1" applyBorder="1" applyAlignment="1" applyProtection="1">
      <alignment/>
      <protection/>
    </xf>
    <xf numFmtId="3" fontId="39" fillId="2" borderId="2" xfId="0" applyNumberFormat="1" applyFont="1" applyFill="1" applyBorder="1" applyAlignment="1" applyProtection="1">
      <alignment/>
      <protection/>
    </xf>
    <xf numFmtId="3" fontId="7" fillId="2" borderId="23" xfId="0" applyNumberFormat="1" applyFont="1" applyFill="1" applyBorder="1" applyAlignment="1" applyProtection="1">
      <alignment/>
      <protection/>
    </xf>
    <xf numFmtId="185" fontId="7" fillId="2" borderId="23" xfId="0" applyNumberFormat="1" applyFont="1" applyFill="1" applyBorder="1" applyAlignment="1" applyProtection="1">
      <alignment/>
      <protection/>
    </xf>
    <xf numFmtId="185" fontId="7" fillId="2" borderId="21" xfId="0" applyNumberFormat="1" applyFont="1" applyFill="1" applyBorder="1" applyAlignment="1" applyProtection="1">
      <alignment/>
      <protection/>
    </xf>
    <xf numFmtId="3" fontId="7" fillId="2" borderId="25" xfId="0" applyNumberFormat="1" applyFont="1" applyFill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3" fontId="5" fillId="2" borderId="2" xfId="0" applyNumberFormat="1" applyFont="1" applyFill="1" applyBorder="1" applyAlignment="1" applyProtection="1">
      <alignment/>
      <protection/>
    </xf>
    <xf numFmtId="185" fontId="5" fillId="2" borderId="2" xfId="0" applyNumberFormat="1" applyFont="1" applyFill="1" applyBorder="1" applyAlignment="1" applyProtection="1">
      <alignment/>
      <protection/>
    </xf>
    <xf numFmtId="185" fontId="5" fillId="2" borderId="25" xfId="0" applyNumberFormat="1" applyFont="1" applyFill="1" applyBorder="1" applyAlignment="1" applyProtection="1">
      <alignment/>
      <protection/>
    </xf>
    <xf numFmtId="3" fontId="21" fillId="0" borderId="2" xfId="0" applyNumberFormat="1" applyFont="1" applyBorder="1" applyAlignment="1" applyProtection="1">
      <alignment/>
      <protection/>
    </xf>
    <xf numFmtId="4" fontId="15" fillId="7" borderId="2" xfId="0" applyNumberFormat="1" applyFont="1" applyFill="1" applyBorder="1" applyAlignment="1" applyProtection="1">
      <alignment/>
      <protection/>
    </xf>
    <xf numFmtId="3" fontId="48" fillId="0" borderId="2" xfId="0" applyNumberFormat="1" applyFont="1" applyBorder="1" applyAlignment="1" applyProtection="1">
      <alignment/>
      <protection/>
    </xf>
    <xf numFmtId="0" fontId="18" fillId="0" borderId="26" xfId="0" applyFont="1" applyFill="1" applyBorder="1" applyAlignment="1" applyProtection="1">
      <alignment/>
      <protection/>
    </xf>
    <xf numFmtId="3" fontId="48" fillId="2" borderId="2" xfId="0" applyNumberFormat="1" applyFont="1" applyFill="1" applyBorder="1" applyAlignment="1" applyProtection="1">
      <alignment/>
      <protection/>
    </xf>
    <xf numFmtId="3" fontId="5" fillId="2" borderId="2" xfId="0" applyNumberFormat="1" applyFont="1" applyFill="1" applyBorder="1" applyAlignment="1" applyProtection="1">
      <alignment/>
      <protection/>
    </xf>
    <xf numFmtId="0" fontId="18" fillId="0" borderId="31" xfId="0" applyFont="1" applyFill="1" applyBorder="1" applyAlignment="1" applyProtection="1">
      <alignment/>
      <protection/>
    </xf>
    <xf numFmtId="0" fontId="18" fillId="0" borderId="32" xfId="0" applyFont="1" applyFill="1" applyBorder="1" applyAlignment="1" applyProtection="1">
      <alignment/>
      <protection/>
    </xf>
    <xf numFmtId="0" fontId="18" fillId="0" borderId="9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3" fontId="5" fillId="0" borderId="2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3" fontId="39" fillId="0" borderId="25" xfId="0" applyNumberFormat="1" applyFont="1" applyBorder="1" applyAlignment="1" applyProtection="1">
      <alignment/>
      <protection/>
    </xf>
    <xf numFmtId="3" fontId="5" fillId="0" borderId="23" xfId="0" applyNumberFormat="1" applyFont="1" applyBorder="1" applyAlignment="1" applyProtection="1">
      <alignment/>
      <protection/>
    </xf>
    <xf numFmtId="3" fontId="34" fillId="0" borderId="30" xfId="0" applyNumberFormat="1" applyFont="1" applyBorder="1" applyAlignment="1" applyProtection="1">
      <alignment/>
      <protection/>
    </xf>
    <xf numFmtId="3" fontId="5" fillId="0" borderId="30" xfId="0" applyNumberFormat="1" applyFont="1" applyBorder="1" applyAlignment="1" applyProtection="1">
      <alignment/>
      <protection/>
    </xf>
    <xf numFmtId="3" fontId="34" fillId="0" borderId="2" xfId="0" applyNumberFormat="1" applyFont="1" applyBorder="1" applyAlignment="1" applyProtection="1">
      <alignment/>
      <protection/>
    </xf>
    <xf numFmtId="0" fontId="18" fillId="0" borderId="26" xfId="0" applyFont="1" applyFill="1" applyBorder="1" applyAlignment="1" applyProtection="1" quotePrefix="1">
      <alignment/>
      <protection/>
    </xf>
    <xf numFmtId="3" fontId="18" fillId="0" borderId="23" xfId="0" applyNumberFormat="1" applyFont="1" applyBorder="1" applyAlignment="1" applyProtection="1">
      <alignment/>
      <protection/>
    </xf>
    <xf numFmtId="3" fontId="39" fillId="0" borderId="23" xfId="0" applyNumberFormat="1" applyFont="1" applyBorder="1" applyAlignment="1" applyProtection="1">
      <alignment/>
      <protection/>
    </xf>
    <xf numFmtId="3" fontId="7" fillId="0" borderId="30" xfId="0" applyNumberFormat="1" applyFont="1" applyBorder="1" applyAlignment="1" applyProtection="1">
      <alignment/>
      <protection/>
    </xf>
    <xf numFmtId="0" fontId="18" fillId="0" borderId="0" xfId="0" applyFont="1" applyFill="1" applyBorder="1" applyAlignment="1" applyProtection="1" quotePrefix="1">
      <alignment/>
      <protection/>
    </xf>
    <xf numFmtId="3" fontId="7" fillId="0" borderId="23" xfId="0" applyNumberFormat="1" applyFont="1" applyFill="1" applyBorder="1" applyAlignment="1" applyProtection="1">
      <alignment/>
      <protection/>
    </xf>
    <xf numFmtId="3" fontId="5" fillId="0" borderId="23" xfId="0" applyNumberFormat="1" applyFont="1" applyFill="1" applyBorder="1" applyAlignment="1" applyProtection="1">
      <alignment/>
      <protection/>
    </xf>
    <xf numFmtId="3" fontId="18" fillId="0" borderId="23" xfId="0" applyNumberFormat="1" applyFont="1" applyFill="1" applyBorder="1" applyAlignment="1" applyProtection="1">
      <alignment/>
      <protection/>
    </xf>
    <xf numFmtId="185" fontId="7" fillId="0" borderId="23" xfId="0" applyNumberFormat="1" applyFont="1" applyFill="1" applyBorder="1" applyAlignment="1" applyProtection="1">
      <alignment/>
      <protection/>
    </xf>
    <xf numFmtId="185" fontId="7" fillId="0" borderId="21" xfId="0" applyNumberFormat="1" applyFont="1" applyFill="1" applyBorder="1" applyAlignment="1" applyProtection="1">
      <alignment/>
      <protection/>
    </xf>
    <xf numFmtId="3" fontId="7" fillId="0" borderId="23" xfId="0" applyNumberFormat="1" applyFont="1" applyFill="1" applyBorder="1" applyAlignment="1" applyProtection="1">
      <alignment/>
      <protection/>
    </xf>
    <xf numFmtId="3" fontId="31" fillId="0" borderId="23" xfId="0" applyNumberFormat="1" applyFont="1" applyFill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18" fillId="0" borderId="32" xfId="0" applyFont="1" applyFill="1" applyBorder="1" applyAlignment="1" applyProtection="1" quotePrefix="1">
      <alignment/>
      <protection/>
    </xf>
    <xf numFmtId="0" fontId="18" fillId="0" borderId="27" xfId="0" applyFont="1" applyFill="1" applyBorder="1" applyAlignment="1" applyProtection="1" quotePrefix="1">
      <alignment/>
      <protection/>
    </xf>
    <xf numFmtId="3" fontId="5" fillId="0" borderId="2" xfId="0" applyNumberFormat="1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7" fillId="0" borderId="34" xfId="0" applyFont="1" applyBorder="1" applyAlignment="1" applyProtection="1">
      <alignment/>
      <protection/>
    </xf>
    <xf numFmtId="0" fontId="7" fillId="0" borderId="35" xfId="0" applyFont="1" applyBorder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3" fontId="7" fillId="0" borderId="37" xfId="0" applyNumberFormat="1" applyFont="1" applyBorder="1" applyAlignment="1" applyProtection="1">
      <alignment/>
      <protection/>
    </xf>
    <xf numFmtId="3" fontId="7" fillId="0" borderId="35" xfId="0" applyNumberFormat="1" applyFont="1" applyBorder="1" applyAlignment="1" applyProtection="1">
      <alignment/>
      <protection/>
    </xf>
    <xf numFmtId="0" fontId="5" fillId="5" borderId="33" xfId="0" applyFont="1" applyFill="1" applyBorder="1" applyAlignment="1" applyProtection="1">
      <alignment/>
      <protection/>
    </xf>
    <xf numFmtId="3" fontId="7" fillId="5" borderId="2" xfId="0" applyNumberFormat="1" applyFont="1" applyFill="1" applyBorder="1" applyAlignment="1" applyProtection="1">
      <alignment/>
      <protection/>
    </xf>
    <xf numFmtId="3" fontId="7" fillId="5" borderId="25" xfId="0" applyNumberFormat="1" applyFont="1" applyFill="1" applyBorder="1" applyAlignment="1" applyProtection="1">
      <alignment/>
      <protection/>
    </xf>
    <xf numFmtId="185" fontId="5" fillId="5" borderId="2" xfId="0" applyNumberFormat="1" applyFont="1" applyFill="1" applyBorder="1" applyAlignment="1" applyProtection="1">
      <alignment horizontal="center"/>
      <protection/>
    </xf>
    <xf numFmtId="185" fontId="5" fillId="5" borderId="25" xfId="0" applyNumberFormat="1" applyFont="1" applyFill="1" applyBorder="1" applyAlignment="1" applyProtection="1">
      <alignment horizontal="center"/>
      <protection/>
    </xf>
    <xf numFmtId="0" fontId="7" fillId="7" borderId="38" xfId="0" applyFont="1" applyFill="1" applyBorder="1" applyAlignment="1" applyProtection="1">
      <alignment/>
      <protection/>
    </xf>
    <xf numFmtId="0" fontId="5" fillId="7" borderId="39" xfId="0" applyFont="1" applyFill="1" applyBorder="1" applyAlignment="1" applyProtection="1">
      <alignment/>
      <protection/>
    </xf>
    <xf numFmtId="0" fontId="22" fillId="7" borderId="40" xfId="0" applyFont="1" applyFill="1" applyBorder="1" applyAlignment="1" applyProtection="1">
      <alignment/>
      <protection/>
    </xf>
    <xf numFmtId="4" fontId="22" fillId="7" borderId="41" xfId="0" applyNumberFormat="1" applyFont="1" applyFill="1" applyBorder="1" applyAlignment="1" applyProtection="1">
      <alignment/>
      <protection/>
    </xf>
    <xf numFmtId="3" fontId="23" fillId="7" borderId="41" xfId="0" applyNumberFormat="1" applyFont="1" applyFill="1" applyBorder="1" applyAlignment="1" applyProtection="1">
      <alignment/>
      <protection/>
    </xf>
    <xf numFmtId="3" fontId="23" fillId="7" borderId="39" xfId="0" applyNumberFormat="1" applyFont="1" applyFill="1" applyBorder="1" applyAlignment="1" applyProtection="1">
      <alignment/>
      <protection/>
    </xf>
    <xf numFmtId="0" fontId="7" fillId="0" borderId="42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3" fontId="7" fillId="0" borderId="23" xfId="0" applyNumberFormat="1" applyFont="1" applyBorder="1" applyAlignment="1" applyProtection="1">
      <alignment/>
      <protection/>
    </xf>
    <xf numFmtId="3" fontId="12" fillId="0" borderId="23" xfId="0" applyNumberFormat="1" applyFont="1" applyBorder="1" applyAlignment="1" applyProtection="1">
      <alignment/>
      <protection/>
    </xf>
    <xf numFmtId="3" fontId="12" fillId="0" borderId="21" xfId="0" applyNumberFormat="1" applyFont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/>
    </xf>
    <xf numFmtId="0" fontId="7" fillId="0" borderId="44" xfId="0" applyFont="1" applyBorder="1" applyAlignment="1" applyProtection="1">
      <alignment/>
      <protection/>
    </xf>
    <xf numFmtId="185" fontId="7" fillId="0" borderId="0" xfId="0" applyNumberFormat="1" applyFont="1" applyBorder="1" applyAlignment="1" applyProtection="1">
      <alignment/>
      <protection/>
    </xf>
    <xf numFmtId="0" fontId="5" fillId="3" borderId="0" xfId="0" applyFont="1" applyFill="1" applyAlignment="1" applyProtection="1">
      <alignment horizontal="left"/>
      <protection/>
    </xf>
    <xf numFmtId="0" fontId="7" fillId="3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Continuous"/>
      <protection/>
    </xf>
    <xf numFmtId="0" fontId="5" fillId="0" borderId="5" xfId="0" applyFont="1" applyBorder="1" applyAlignment="1" applyProtection="1">
      <alignment horizontal="centerContinuous"/>
      <protection/>
    </xf>
    <xf numFmtId="0" fontId="7" fillId="4" borderId="45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7" fillId="4" borderId="10" xfId="0" applyFont="1" applyFill="1" applyBorder="1" applyAlignment="1" applyProtection="1">
      <alignment/>
      <protection/>
    </xf>
    <xf numFmtId="0" fontId="5" fillId="0" borderId="8" xfId="0" applyFont="1" applyBorder="1" applyAlignment="1" applyProtection="1">
      <alignment horizontal="center"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13" xfId="0" applyFont="1" applyBorder="1" applyAlignment="1" applyProtection="1">
      <alignment horizontal="centerContinuous"/>
      <protection/>
    </xf>
    <xf numFmtId="0" fontId="7" fillId="4" borderId="14" xfId="0" applyFont="1" applyFill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5" fillId="7" borderId="33" xfId="0" applyFont="1" applyFill="1" applyBorder="1" applyAlignment="1" applyProtection="1">
      <alignment horizontal="right"/>
      <protection/>
    </xf>
    <xf numFmtId="0" fontId="5" fillId="7" borderId="25" xfId="0" applyFont="1" applyFill="1" applyBorder="1" applyAlignment="1" applyProtection="1">
      <alignment horizontal="centerContinuous"/>
      <protection/>
    </xf>
    <xf numFmtId="0" fontId="24" fillId="7" borderId="29" xfId="0" applyFont="1" applyFill="1" applyBorder="1" applyAlignment="1" applyProtection="1">
      <alignment/>
      <protection/>
    </xf>
    <xf numFmtId="3" fontId="7" fillId="7" borderId="2" xfId="0" applyNumberFormat="1" applyFont="1" applyFill="1" applyBorder="1" applyAlignment="1" applyProtection="1">
      <alignment/>
      <protection/>
    </xf>
    <xf numFmtId="3" fontId="7" fillId="7" borderId="25" xfId="0" applyNumberFormat="1" applyFont="1" applyFill="1" applyBorder="1" applyAlignment="1" applyProtection="1">
      <alignment/>
      <protection/>
    </xf>
    <xf numFmtId="0" fontId="5" fillId="7" borderId="33" xfId="0" applyFont="1" applyFill="1" applyBorder="1" applyAlignment="1" applyProtection="1">
      <alignment/>
      <protection/>
    </xf>
    <xf numFmtId="3" fontId="5" fillId="7" borderId="2" xfId="0" applyNumberFormat="1" applyFont="1" applyFill="1" applyBorder="1" applyAlignment="1" applyProtection="1">
      <alignment/>
      <protection/>
    </xf>
    <xf numFmtId="185" fontId="5" fillId="7" borderId="2" xfId="0" applyNumberFormat="1" applyFont="1" applyFill="1" applyBorder="1" applyAlignment="1" applyProtection="1">
      <alignment/>
      <protection/>
    </xf>
    <xf numFmtId="185" fontId="5" fillId="7" borderId="25" xfId="0" applyNumberFormat="1" applyFont="1" applyFill="1" applyBorder="1" applyAlignment="1" applyProtection="1">
      <alignment/>
      <protection/>
    </xf>
    <xf numFmtId="0" fontId="24" fillId="0" borderId="29" xfId="0" applyFont="1" applyBorder="1" applyAlignment="1" applyProtection="1">
      <alignment/>
      <protection/>
    </xf>
    <xf numFmtId="0" fontId="5" fillId="7" borderId="26" xfId="0" applyFont="1" applyFill="1" applyBorder="1" applyAlignment="1" applyProtection="1">
      <alignment/>
      <protection/>
    </xf>
    <xf numFmtId="3" fontId="7" fillId="7" borderId="2" xfId="0" applyNumberFormat="1" applyFont="1" applyFill="1" applyBorder="1" applyAlignment="1" applyProtection="1">
      <alignment/>
      <protection/>
    </xf>
    <xf numFmtId="3" fontId="7" fillId="7" borderId="25" xfId="0" applyNumberFormat="1" applyFont="1" applyFill="1" applyBorder="1" applyAlignment="1" applyProtection="1">
      <alignment/>
      <protection/>
    </xf>
    <xf numFmtId="185" fontId="5" fillId="7" borderId="2" xfId="0" applyNumberFormat="1" applyFont="1" applyFill="1" applyBorder="1" applyAlignment="1" applyProtection="1">
      <alignment horizontal="center"/>
      <protection/>
    </xf>
    <xf numFmtId="185" fontId="5" fillId="7" borderId="25" xfId="0" applyNumberFormat="1" applyFont="1" applyFill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/>
      <protection/>
    </xf>
    <xf numFmtId="0" fontId="5" fillId="7" borderId="33" xfId="0" applyFont="1" applyFill="1" applyBorder="1" applyAlignment="1" applyProtection="1">
      <alignment/>
      <protection/>
    </xf>
    <xf numFmtId="0" fontId="5" fillId="7" borderId="25" xfId="0" applyFont="1" applyFill="1" applyBorder="1" applyAlignment="1" applyProtection="1">
      <alignment/>
      <protection/>
    </xf>
    <xf numFmtId="3" fontId="5" fillId="7" borderId="2" xfId="0" applyNumberFormat="1" applyFont="1" applyFill="1" applyBorder="1" applyAlignment="1" applyProtection="1">
      <alignment/>
      <protection/>
    </xf>
    <xf numFmtId="3" fontId="10" fillId="0" borderId="2" xfId="0" applyNumberFormat="1" applyFont="1" applyBorder="1" applyAlignment="1" applyProtection="1">
      <alignment/>
      <protection/>
    </xf>
    <xf numFmtId="3" fontId="10" fillId="0" borderId="25" xfId="0" applyNumberFormat="1" applyFont="1" applyBorder="1" applyAlignment="1" applyProtection="1">
      <alignment/>
      <protection/>
    </xf>
    <xf numFmtId="0" fontId="7" fillId="0" borderId="46" xfId="0" applyFont="1" applyBorder="1" applyAlignment="1" applyProtection="1">
      <alignment/>
      <protection/>
    </xf>
    <xf numFmtId="0" fontId="7" fillId="0" borderId="39" xfId="0" applyFont="1" applyBorder="1" applyAlignment="1" applyProtection="1">
      <alignment/>
      <protection/>
    </xf>
    <xf numFmtId="0" fontId="7" fillId="0" borderId="40" xfId="0" applyFont="1" applyBorder="1" applyAlignment="1" applyProtection="1">
      <alignment/>
      <protection/>
    </xf>
    <xf numFmtId="3" fontId="5" fillId="0" borderId="41" xfId="0" applyNumberFormat="1" applyFont="1" applyBorder="1" applyAlignment="1" applyProtection="1">
      <alignment/>
      <protection/>
    </xf>
    <xf numFmtId="3" fontId="10" fillId="0" borderId="41" xfId="0" applyNumberFormat="1" applyFont="1" applyBorder="1" applyAlignment="1" applyProtection="1">
      <alignment/>
      <protection/>
    </xf>
    <xf numFmtId="3" fontId="10" fillId="0" borderId="39" xfId="0" applyNumberFormat="1" applyFont="1" applyBorder="1" applyAlignment="1" applyProtection="1">
      <alignment/>
      <protection/>
    </xf>
    <xf numFmtId="0" fontId="7" fillId="0" borderId="4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/>
      <protection/>
    </xf>
    <xf numFmtId="0" fontId="7" fillId="0" borderId="47" xfId="0" applyFont="1" applyBorder="1" applyAlignment="1" applyProtection="1">
      <alignment/>
      <protection/>
    </xf>
    <xf numFmtId="185" fontId="7" fillId="0" borderId="47" xfId="0" applyNumberFormat="1" applyFont="1" applyBorder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185" fontId="7" fillId="0" borderId="0" xfId="0" applyNumberFormat="1" applyFont="1" applyAlignment="1" applyProtection="1">
      <alignment horizontal="centerContinuous"/>
      <protection/>
    </xf>
    <xf numFmtId="185" fontId="7" fillId="0" borderId="0" xfId="0" applyNumberFormat="1" applyFont="1" applyBorder="1" applyAlignment="1" applyProtection="1">
      <alignment horizontal="centerContinuous"/>
      <protection/>
    </xf>
    <xf numFmtId="185" fontId="7" fillId="0" borderId="37" xfId="0" applyNumberFormat="1" applyFont="1" applyBorder="1" applyAlignment="1" applyProtection="1">
      <alignment/>
      <protection/>
    </xf>
    <xf numFmtId="185" fontId="7" fillId="0" borderId="35" xfId="0" applyNumberFormat="1" applyFont="1" applyBorder="1" applyAlignment="1" applyProtection="1">
      <alignment/>
      <protection/>
    </xf>
    <xf numFmtId="0" fontId="5" fillId="7" borderId="25" xfId="0" applyFont="1" applyFill="1" applyBorder="1" applyAlignment="1" applyProtection="1">
      <alignment horizontal="right"/>
      <protection/>
    </xf>
    <xf numFmtId="0" fontId="24" fillId="7" borderId="26" xfId="0" applyFont="1" applyFill="1" applyBorder="1" applyAlignment="1" applyProtection="1">
      <alignment/>
      <protection/>
    </xf>
    <xf numFmtId="185" fontId="10" fillId="7" borderId="2" xfId="0" applyNumberFormat="1" applyFont="1" applyFill="1" applyBorder="1" applyAlignment="1" applyProtection="1">
      <alignment horizontal="center"/>
      <protection/>
    </xf>
    <xf numFmtId="185" fontId="10" fillId="7" borderId="25" xfId="0" applyNumberFormat="1" applyFont="1" applyFill="1" applyBorder="1" applyAlignment="1" applyProtection="1">
      <alignment horizontal="center"/>
      <protection/>
    </xf>
    <xf numFmtId="3" fontId="12" fillId="0" borderId="2" xfId="0" applyNumberFormat="1" applyFont="1" applyBorder="1" applyAlignment="1" applyProtection="1">
      <alignment/>
      <protection/>
    </xf>
    <xf numFmtId="3" fontId="12" fillId="0" borderId="25" xfId="0" applyNumberFormat="1" applyFont="1" applyBorder="1" applyAlignment="1" applyProtection="1">
      <alignment/>
      <protection/>
    </xf>
    <xf numFmtId="186" fontId="12" fillId="0" borderId="2" xfId="0" applyNumberFormat="1" applyFont="1" applyBorder="1" applyAlignment="1" applyProtection="1">
      <alignment/>
      <protection/>
    </xf>
    <xf numFmtId="0" fontId="7" fillId="0" borderId="48" xfId="0" applyFont="1" applyBorder="1" applyAlignment="1" applyProtection="1">
      <alignment/>
      <protection/>
    </xf>
    <xf numFmtId="0" fontId="7" fillId="0" borderId="49" xfId="0" applyFont="1" applyBorder="1" applyAlignment="1" applyProtection="1">
      <alignment/>
      <protection/>
    </xf>
    <xf numFmtId="0" fontId="7" fillId="0" borderId="50" xfId="0" applyFont="1" applyBorder="1" applyAlignment="1" applyProtection="1">
      <alignment/>
      <protection/>
    </xf>
    <xf numFmtId="3" fontId="7" fillId="0" borderId="51" xfId="0" applyNumberFormat="1" applyFont="1" applyBorder="1" applyAlignment="1" applyProtection="1">
      <alignment/>
      <protection/>
    </xf>
    <xf numFmtId="3" fontId="5" fillId="0" borderId="51" xfId="0" applyNumberFormat="1" applyFont="1" applyBorder="1" applyAlignment="1" applyProtection="1">
      <alignment/>
      <protection/>
    </xf>
    <xf numFmtId="3" fontId="12" fillId="0" borderId="51" xfId="0" applyNumberFormat="1" applyFont="1" applyBorder="1" applyAlignment="1" applyProtection="1">
      <alignment/>
      <protection/>
    </xf>
    <xf numFmtId="186" fontId="12" fillId="0" borderId="51" xfId="0" applyNumberFormat="1" applyFont="1" applyBorder="1" applyAlignment="1" applyProtection="1">
      <alignment/>
      <protection/>
    </xf>
    <xf numFmtId="3" fontId="12" fillId="0" borderId="49" xfId="0" applyNumberFormat="1" applyFont="1" applyBorder="1" applyAlignment="1" applyProtection="1">
      <alignment/>
      <protection/>
    </xf>
    <xf numFmtId="0" fontId="7" fillId="0" borderId="8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3" fontId="5" fillId="0" borderId="11" xfId="0" applyNumberFormat="1" applyFont="1" applyBorder="1" applyAlignment="1" applyProtection="1">
      <alignment/>
      <protection/>
    </xf>
    <xf numFmtId="3" fontId="12" fillId="0" borderId="11" xfId="0" applyNumberFormat="1" applyFont="1" applyBorder="1" applyAlignment="1" applyProtection="1">
      <alignment/>
      <protection/>
    </xf>
    <xf numFmtId="186" fontId="12" fillId="0" borderId="11" xfId="0" applyNumberFormat="1" applyFont="1" applyBorder="1" applyAlignment="1" applyProtection="1">
      <alignment/>
      <protection/>
    </xf>
    <xf numFmtId="3" fontId="12" fillId="0" borderId="9" xfId="0" applyNumberFormat="1" applyFont="1" applyBorder="1" applyAlignment="1" applyProtection="1">
      <alignment/>
      <protection/>
    </xf>
    <xf numFmtId="186" fontId="5" fillId="7" borderId="2" xfId="0" applyNumberFormat="1" applyFont="1" applyFill="1" applyBorder="1" applyAlignment="1" applyProtection="1">
      <alignment horizontal="center"/>
      <protection/>
    </xf>
    <xf numFmtId="186" fontId="7" fillId="0" borderId="2" xfId="0" applyNumberFormat="1" applyFont="1" applyBorder="1" applyAlignment="1" applyProtection="1">
      <alignment/>
      <protection/>
    </xf>
    <xf numFmtId="3" fontId="7" fillId="0" borderId="41" xfId="0" applyNumberFormat="1" applyFont="1" applyBorder="1" applyAlignment="1" applyProtection="1">
      <alignment/>
      <protection/>
    </xf>
    <xf numFmtId="186" fontId="7" fillId="0" borderId="41" xfId="0" applyNumberFormat="1" applyFont="1" applyBorder="1" applyAlignment="1" applyProtection="1">
      <alignment/>
      <protection/>
    </xf>
    <xf numFmtId="3" fontId="7" fillId="0" borderId="39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3" fontId="5" fillId="0" borderId="21" xfId="0" applyNumberFormat="1" applyFont="1" applyBorder="1" applyAlignment="1" applyProtection="1">
      <alignment/>
      <protection/>
    </xf>
    <xf numFmtId="186" fontId="5" fillId="0" borderId="2" xfId="0" applyNumberFormat="1" applyFont="1" applyBorder="1" applyAlignment="1" applyProtection="1">
      <alignment/>
      <protection/>
    </xf>
    <xf numFmtId="3" fontId="5" fillId="0" borderId="25" xfId="0" applyNumberFormat="1" applyFont="1" applyBorder="1" applyAlignment="1" applyProtection="1">
      <alignment/>
      <protection/>
    </xf>
    <xf numFmtId="0" fontId="5" fillId="0" borderId="50" xfId="0" applyFont="1" applyBorder="1" applyAlignment="1" applyProtection="1">
      <alignment/>
      <protection/>
    </xf>
    <xf numFmtId="186" fontId="5" fillId="0" borderId="51" xfId="0" applyNumberFormat="1" applyFont="1" applyBorder="1" applyAlignment="1" applyProtection="1">
      <alignment/>
      <protection/>
    </xf>
    <xf numFmtId="3" fontId="5" fillId="0" borderId="49" xfId="0" applyNumberFormat="1" applyFont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9" xfId="0" applyNumberFormat="1" applyFont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186" fontId="5" fillId="0" borderId="11" xfId="0" applyNumberFormat="1" applyFont="1" applyBorder="1" applyAlignment="1" applyProtection="1">
      <alignment/>
      <protection/>
    </xf>
    <xf numFmtId="0" fontId="7" fillId="4" borderId="53" xfId="0" applyFont="1" applyFill="1" applyBorder="1" applyAlignment="1" applyProtection="1">
      <alignment/>
      <protection/>
    </xf>
    <xf numFmtId="0" fontId="5" fillId="4" borderId="54" xfId="0" applyFont="1" applyFill="1" applyBorder="1" applyAlignment="1" applyProtection="1">
      <alignment/>
      <protection/>
    </xf>
    <xf numFmtId="0" fontId="5" fillId="4" borderId="1" xfId="0" applyFont="1" applyFill="1" applyBorder="1" applyAlignment="1" applyProtection="1">
      <alignment/>
      <protection/>
    </xf>
    <xf numFmtId="3" fontId="5" fillId="4" borderId="55" xfId="0" applyNumberFormat="1" applyFont="1" applyFill="1" applyBorder="1" applyAlignment="1" applyProtection="1">
      <alignment/>
      <protection/>
    </xf>
    <xf numFmtId="3" fontId="10" fillId="4" borderId="55" xfId="0" applyNumberFormat="1" applyFont="1" applyFill="1" applyBorder="1" applyAlignment="1" applyProtection="1">
      <alignment/>
      <protection/>
    </xf>
    <xf numFmtId="3" fontId="10" fillId="4" borderId="54" xfId="0" applyNumberFormat="1" applyFont="1" applyFill="1" applyBorder="1" applyAlignment="1" applyProtection="1">
      <alignment/>
      <protection/>
    </xf>
    <xf numFmtId="0" fontId="7" fillId="4" borderId="56" xfId="0" applyFont="1" applyFill="1" applyBorder="1" applyAlignment="1" applyProtection="1">
      <alignment/>
      <protection/>
    </xf>
    <xf numFmtId="0" fontId="5" fillId="4" borderId="57" xfId="0" applyFont="1" applyFill="1" applyBorder="1" applyAlignment="1" applyProtection="1">
      <alignment/>
      <protection/>
    </xf>
    <xf numFmtId="0" fontId="5" fillId="4" borderId="58" xfId="0" applyFont="1" applyFill="1" applyBorder="1" applyAlignment="1" applyProtection="1">
      <alignment/>
      <protection/>
    </xf>
    <xf numFmtId="3" fontId="5" fillId="4" borderId="59" xfId="0" applyNumberFormat="1" applyFont="1" applyFill="1" applyBorder="1" applyAlignment="1" applyProtection="1">
      <alignment/>
      <protection/>
    </xf>
    <xf numFmtId="185" fontId="10" fillId="4" borderId="59" xfId="0" applyNumberFormat="1" applyFont="1" applyFill="1" applyBorder="1" applyAlignment="1" applyProtection="1">
      <alignment horizontal="center"/>
      <protection/>
    </xf>
    <xf numFmtId="185" fontId="10" fillId="4" borderId="57" xfId="0" applyNumberFormat="1" applyFont="1" applyFill="1" applyBorder="1" applyAlignment="1" applyProtection="1">
      <alignment horizontal="center"/>
      <protection/>
    </xf>
    <xf numFmtId="0" fontId="7" fillId="4" borderId="60" xfId="0" applyFont="1" applyFill="1" applyBorder="1" applyAlignment="1" applyProtection="1">
      <alignment/>
      <protection/>
    </xf>
    <xf numFmtId="0" fontId="5" fillId="4" borderId="61" xfId="0" applyFont="1" applyFill="1" applyBorder="1" applyAlignment="1" applyProtection="1">
      <alignment/>
      <protection/>
    </xf>
    <xf numFmtId="0" fontId="24" fillId="4" borderId="62" xfId="0" applyFont="1" applyFill="1" applyBorder="1" applyAlignment="1" applyProtection="1">
      <alignment/>
      <protection/>
    </xf>
    <xf numFmtId="3" fontId="5" fillId="4" borderId="63" xfId="0" applyNumberFormat="1" applyFont="1" applyFill="1" applyBorder="1" applyAlignment="1" applyProtection="1">
      <alignment/>
      <protection/>
    </xf>
    <xf numFmtId="185" fontId="10" fillId="4" borderId="63" xfId="0" applyNumberFormat="1" applyFont="1" applyFill="1" applyBorder="1" applyAlignment="1" applyProtection="1">
      <alignment horizontal="center"/>
      <protection/>
    </xf>
    <xf numFmtId="185" fontId="10" fillId="4" borderId="61" xfId="0" applyNumberFormat="1" applyFont="1" applyFill="1" applyBorder="1" applyAlignment="1" applyProtection="1">
      <alignment horizontal="center"/>
      <protection/>
    </xf>
    <xf numFmtId="0" fontId="7" fillId="7" borderId="64" xfId="0" applyFont="1" applyFill="1" applyBorder="1" applyAlignment="1" applyProtection="1">
      <alignment/>
      <protection/>
    </xf>
    <xf numFmtId="0" fontId="7" fillId="7" borderId="6" xfId="0" applyFont="1" applyFill="1" applyBorder="1" applyAlignment="1" applyProtection="1">
      <alignment/>
      <protection/>
    </xf>
    <xf numFmtId="0" fontId="20" fillId="7" borderId="6" xfId="0" applyFont="1" applyFill="1" applyBorder="1" applyAlignment="1" applyProtection="1">
      <alignment/>
      <protection/>
    </xf>
    <xf numFmtId="0" fontId="7" fillId="7" borderId="65" xfId="0" applyFont="1" applyFill="1" applyBorder="1" applyAlignment="1" applyProtection="1">
      <alignment/>
      <protection/>
    </xf>
    <xf numFmtId="0" fontId="7" fillId="7" borderId="0" xfId="0" applyFont="1" applyFill="1" applyBorder="1" applyAlignment="1" applyProtection="1">
      <alignment/>
      <protection/>
    </xf>
    <xf numFmtId="0" fontId="5" fillId="7" borderId="0" xfId="0" applyFont="1" applyFill="1" applyBorder="1" applyAlignment="1" applyProtection="1">
      <alignment/>
      <protection/>
    </xf>
    <xf numFmtId="3" fontId="5" fillId="7" borderId="0" xfId="27" applyNumberFormat="1" applyFont="1" applyFill="1" applyBorder="1" applyAlignment="1" applyProtection="1">
      <alignment/>
      <protection/>
    </xf>
    <xf numFmtId="185" fontId="5" fillId="7" borderId="0" xfId="27" applyNumberFormat="1" applyFont="1" applyFill="1" applyBorder="1" applyAlignment="1" applyProtection="1">
      <alignment/>
      <protection/>
    </xf>
    <xf numFmtId="0" fontId="20" fillId="7" borderId="0" xfId="0" applyFont="1" applyFill="1" applyBorder="1" applyAlignment="1" applyProtection="1">
      <alignment/>
      <protection/>
    </xf>
    <xf numFmtId="0" fontId="7" fillId="7" borderId="66" xfId="0" applyFont="1" applyFill="1" applyBorder="1" applyAlignment="1" applyProtection="1">
      <alignment/>
      <protection/>
    </xf>
    <xf numFmtId="0" fontId="7" fillId="7" borderId="3" xfId="0" applyFont="1" applyFill="1" applyBorder="1" applyAlignment="1" applyProtection="1">
      <alignment/>
      <protection/>
    </xf>
    <xf numFmtId="186" fontId="31" fillId="7" borderId="3" xfId="0" applyNumberFormat="1" applyFont="1" applyFill="1" applyBorder="1" applyAlignment="1" applyProtection="1">
      <alignment/>
      <protection/>
    </xf>
    <xf numFmtId="0" fontId="20" fillId="7" borderId="3" xfId="0" applyFont="1" applyFill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5" fillId="7" borderId="25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90" fontId="5" fillId="6" borderId="23" xfId="0" applyNumberFormat="1" applyFont="1" applyFill="1" applyBorder="1" applyAlignment="1" applyProtection="1">
      <alignment/>
      <protection/>
    </xf>
    <xf numFmtId="190" fontId="7" fillId="6" borderId="23" xfId="0" applyNumberFormat="1" applyFont="1" applyFill="1" applyBorder="1" applyAlignment="1" applyProtection="1">
      <alignment/>
      <protection/>
    </xf>
    <xf numFmtId="193" fontId="7" fillId="6" borderId="23" xfId="0" applyNumberFormat="1" applyFont="1" applyFill="1" applyBorder="1" applyAlignment="1" applyProtection="1">
      <alignment/>
      <protection/>
    </xf>
    <xf numFmtId="193" fontId="7" fillId="6" borderId="23" xfId="0" applyNumberFormat="1" applyFont="1" applyFill="1" applyBorder="1" applyAlignment="1" applyProtection="1">
      <alignment horizontal="right"/>
      <protection/>
    </xf>
    <xf numFmtId="193" fontId="7" fillId="6" borderId="23" xfId="0" applyNumberFormat="1" applyFont="1" applyFill="1" applyBorder="1" applyAlignment="1" applyProtection="1">
      <alignment horizontal="center"/>
      <protection/>
    </xf>
    <xf numFmtId="193" fontId="7" fillId="6" borderId="23" xfId="0" applyNumberFormat="1" applyFont="1" applyFill="1" applyBorder="1" applyAlignment="1" applyProtection="1">
      <alignment/>
      <protection/>
    </xf>
    <xf numFmtId="0" fontId="8" fillId="0" borderId="57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horizontal="center"/>
      <protection/>
    </xf>
    <xf numFmtId="0" fontId="8" fillId="0" borderId="3" xfId="0" applyFont="1" applyBorder="1" applyAlignment="1" applyProtection="1">
      <alignment horizontal="left"/>
      <protection/>
    </xf>
    <xf numFmtId="0" fontId="7" fillId="0" borderId="28" xfId="0" applyFont="1" applyBorder="1" applyAlignment="1" applyProtection="1">
      <alignment/>
      <protection/>
    </xf>
    <xf numFmtId="3" fontId="18" fillId="0" borderId="2" xfId="0" applyNumberFormat="1" applyFont="1" applyBorder="1" applyAlignment="1" applyProtection="1">
      <alignment/>
      <protection/>
    </xf>
    <xf numFmtId="3" fontId="7" fillId="0" borderId="2" xfId="0" applyNumberFormat="1" applyFont="1" applyBorder="1" applyAlignment="1" applyProtection="1">
      <alignment/>
      <protection/>
    </xf>
    <xf numFmtId="4" fontId="50" fillId="7" borderId="2" xfId="0" applyNumberFormat="1" applyFont="1" applyFill="1" applyBorder="1" applyAlignment="1" applyProtection="1">
      <alignment/>
      <protection/>
    </xf>
    <xf numFmtId="3" fontId="22" fillId="0" borderId="2" xfId="0" applyNumberFormat="1" applyFont="1" applyFill="1" applyBorder="1" applyAlignment="1" applyProtection="1">
      <alignment/>
      <protection/>
    </xf>
    <xf numFmtId="0" fontId="5" fillId="4" borderId="11" xfId="0" applyFont="1" applyFill="1" applyBorder="1" applyAlignment="1" applyProtection="1">
      <alignment horizontal="center" vertical="center"/>
      <protection/>
    </xf>
    <xf numFmtId="3" fontId="31" fillId="0" borderId="2" xfId="0" applyNumberFormat="1" applyFont="1" applyFill="1" applyBorder="1" applyAlignment="1" applyProtection="1">
      <alignment/>
      <protection/>
    </xf>
    <xf numFmtId="3" fontId="37" fillId="0" borderId="0" xfId="0" applyNumberFormat="1" applyFont="1" applyAlignment="1">
      <alignment/>
    </xf>
    <xf numFmtId="0" fontId="37" fillId="0" borderId="0" xfId="0" applyFont="1" applyAlignment="1">
      <alignment/>
    </xf>
    <xf numFmtId="3" fontId="41" fillId="0" borderId="0" xfId="0" applyNumberFormat="1" applyFont="1" applyAlignment="1">
      <alignment/>
    </xf>
    <xf numFmtId="0" fontId="31" fillId="0" borderId="29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 horizontal="right"/>
      <protection/>
    </xf>
    <xf numFmtId="0" fontId="17" fillId="3" borderId="0" xfId="0" applyFont="1" applyFill="1" applyBorder="1" applyAlignment="1">
      <alignment horizontal="left"/>
    </xf>
    <xf numFmtId="185" fontId="7" fillId="0" borderId="2" xfId="0" applyNumberFormat="1" applyFont="1" applyBorder="1" applyAlignment="1" applyProtection="1">
      <alignment/>
      <protection/>
    </xf>
    <xf numFmtId="185" fontId="7" fillId="7" borderId="2" xfId="0" applyNumberFormat="1" applyFont="1" applyFill="1" applyBorder="1" applyAlignment="1" applyProtection="1">
      <alignment/>
      <protection/>
    </xf>
    <xf numFmtId="185" fontId="7" fillId="0" borderId="2" xfId="0" applyNumberFormat="1" applyFont="1" applyBorder="1" applyAlignment="1" applyProtection="1">
      <alignment/>
      <protection/>
    </xf>
    <xf numFmtId="185" fontId="7" fillId="7" borderId="2" xfId="0" applyNumberFormat="1" applyFont="1" applyFill="1" applyBorder="1" applyAlignment="1" applyProtection="1">
      <alignment/>
      <protection/>
    </xf>
    <xf numFmtId="185" fontId="5" fillId="7" borderId="2" xfId="0" applyNumberFormat="1" applyFont="1" applyFill="1" applyBorder="1" applyAlignment="1" applyProtection="1">
      <alignment/>
      <protection/>
    </xf>
    <xf numFmtId="185" fontId="7" fillId="0" borderId="25" xfId="0" applyNumberFormat="1" applyFont="1" applyBorder="1" applyAlignment="1" applyProtection="1">
      <alignment/>
      <protection/>
    </xf>
    <xf numFmtId="185" fontId="7" fillId="0" borderId="39" xfId="0" applyNumberFormat="1" applyFont="1" applyBorder="1" applyAlignment="1" applyProtection="1">
      <alignment/>
      <protection/>
    </xf>
    <xf numFmtId="185" fontId="5" fillId="0" borderId="21" xfId="0" applyNumberFormat="1" applyFont="1" applyBorder="1" applyAlignment="1" applyProtection="1">
      <alignment/>
      <protection/>
    </xf>
    <xf numFmtId="185" fontId="5" fillId="0" borderId="25" xfId="0" applyNumberFormat="1" applyFont="1" applyBorder="1" applyAlignment="1" applyProtection="1">
      <alignment/>
      <protection/>
    </xf>
    <xf numFmtId="185" fontId="5" fillId="0" borderId="49" xfId="0" applyNumberFormat="1" applyFont="1" applyBorder="1" applyAlignment="1" applyProtection="1">
      <alignment/>
      <protection/>
    </xf>
    <xf numFmtId="185" fontId="5" fillId="0" borderId="9" xfId="0" applyNumberFormat="1" applyFont="1" applyBorder="1" applyAlignment="1" applyProtection="1">
      <alignment/>
      <protection/>
    </xf>
    <xf numFmtId="185" fontId="7" fillId="0" borderId="49" xfId="0" applyNumberFormat="1" applyFont="1" applyBorder="1" applyAlignment="1" applyProtection="1">
      <alignment/>
      <protection/>
    </xf>
    <xf numFmtId="185" fontId="7" fillId="0" borderId="9" xfId="0" applyNumberFormat="1" applyFont="1" applyBorder="1" applyAlignment="1" applyProtection="1">
      <alignment/>
      <protection/>
    </xf>
    <xf numFmtId="185" fontId="5" fillId="4" borderId="54" xfId="0" applyNumberFormat="1" applyFont="1" applyFill="1" applyBorder="1" applyAlignment="1" applyProtection="1">
      <alignment/>
      <protection/>
    </xf>
    <xf numFmtId="185" fontId="5" fillId="4" borderId="57" xfId="0" applyNumberFormat="1" applyFont="1" applyFill="1" applyBorder="1" applyAlignment="1" applyProtection="1">
      <alignment horizontal="center"/>
      <protection/>
    </xf>
    <xf numFmtId="185" fontId="5" fillId="7" borderId="25" xfId="0" applyNumberFormat="1" applyFont="1" applyFill="1" applyBorder="1" applyAlignment="1" applyProtection="1">
      <alignment horizontal="right"/>
      <protection/>
    </xf>
    <xf numFmtId="0" fontId="5" fillId="4" borderId="5" xfId="0" applyFont="1" applyFill="1" applyBorder="1" applyAlignment="1" applyProtection="1">
      <alignment horizontal="center"/>
      <protection/>
    </xf>
    <xf numFmtId="0" fontId="5" fillId="4" borderId="9" xfId="0" applyFont="1" applyFill="1" applyBorder="1" applyAlignment="1" applyProtection="1">
      <alignment horizontal="center"/>
      <protection/>
    </xf>
    <xf numFmtId="0" fontId="5" fillId="4" borderId="11" xfId="0" applyFont="1" applyFill="1" applyBorder="1" applyAlignment="1" applyProtection="1">
      <alignment horizontal="center"/>
      <protection/>
    </xf>
    <xf numFmtId="3" fontId="7" fillId="0" borderId="21" xfId="0" applyNumberFormat="1" applyFont="1" applyBorder="1" applyAlignment="1" applyProtection="1">
      <alignment/>
      <protection/>
    </xf>
    <xf numFmtId="0" fontId="5" fillId="4" borderId="13" xfId="0" applyFont="1" applyFill="1" applyBorder="1" applyAlignment="1" applyProtection="1">
      <alignment horizontal="center"/>
      <protection/>
    </xf>
    <xf numFmtId="3" fontId="5" fillId="0" borderId="39" xfId="0" applyNumberFormat="1" applyFont="1" applyBorder="1" applyAlignment="1" applyProtection="1">
      <alignment/>
      <protection/>
    </xf>
    <xf numFmtId="3" fontId="7" fillId="0" borderId="49" xfId="0" applyNumberFormat="1" applyFont="1" applyBorder="1" applyAlignment="1" applyProtection="1">
      <alignment/>
      <protection/>
    </xf>
    <xf numFmtId="3" fontId="5" fillId="4" borderId="54" xfId="0" applyNumberFormat="1" applyFont="1" applyFill="1" applyBorder="1" applyAlignment="1" applyProtection="1">
      <alignment/>
      <protection/>
    </xf>
    <xf numFmtId="185" fontId="5" fillId="4" borderId="61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17" xfId="0" applyNumberFormat="1" applyFont="1" applyBorder="1" applyAlignment="1" applyProtection="1">
      <alignment/>
      <protection/>
    </xf>
    <xf numFmtId="3" fontId="5" fillId="7" borderId="25" xfId="0" applyNumberFormat="1" applyFont="1" applyFill="1" applyBorder="1" applyAlignment="1" applyProtection="1">
      <alignment horizontal="right"/>
      <protection/>
    </xf>
    <xf numFmtId="3" fontId="5" fillId="7" borderId="25" xfId="0" applyNumberFormat="1" applyFont="1" applyFill="1" applyBorder="1" applyAlignment="1" applyProtection="1">
      <alignment horizontal="center"/>
      <protection/>
    </xf>
    <xf numFmtId="0" fontId="49" fillId="0" borderId="26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39" fillId="0" borderId="26" xfId="0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0" fontId="20" fillId="0" borderId="67" xfId="0" applyFont="1" applyBorder="1" applyAlignment="1" applyProtection="1">
      <alignment horizontal="center"/>
      <protection/>
    </xf>
    <xf numFmtId="0" fontId="20" fillId="0" borderId="67" xfId="0" applyFont="1" applyBorder="1" applyAlignment="1" applyProtection="1" quotePrefix="1">
      <alignment horizontal="center"/>
      <protection/>
    </xf>
    <xf numFmtId="0" fontId="20" fillId="0" borderId="68" xfId="0" applyFont="1" applyBorder="1" applyAlignment="1" applyProtection="1" quotePrefix="1">
      <alignment horizontal="center"/>
      <protection/>
    </xf>
    <xf numFmtId="0" fontId="5" fillId="4" borderId="69" xfId="0" applyFont="1" applyFill="1" applyBorder="1" applyAlignment="1" applyProtection="1">
      <alignment horizontal="center"/>
      <protection/>
    </xf>
    <xf numFmtId="0" fontId="5" fillId="4" borderId="70" xfId="0" applyFont="1" applyFill="1" applyBorder="1" applyAlignment="1" applyProtection="1">
      <alignment horizontal="center"/>
      <protection/>
    </xf>
    <xf numFmtId="0" fontId="11" fillId="4" borderId="71" xfId="0" applyFont="1" applyFill="1" applyBorder="1" applyAlignment="1" applyProtection="1">
      <alignment horizontal="center"/>
      <protection/>
    </xf>
    <xf numFmtId="0" fontId="20" fillId="0" borderId="72" xfId="0" applyFont="1" applyBorder="1" applyAlignment="1" applyProtection="1" quotePrefix="1">
      <alignment horizontal="center"/>
      <protection/>
    </xf>
    <xf numFmtId="186" fontId="8" fillId="5" borderId="73" xfId="0" applyNumberFormat="1" applyFont="1" applyFill="1" applyBorder="1" applyAlignment="1" applyProtection="1">
      <alignment/>
      <protection/>
    </xf>
    <xf numFmtId="0" fontId="20" fillId="0" borderId="73" xfId="0" applyFont="1" applyBorder="1" applyAlignment="1" applyProtection="1">
      <alignment/>
      <protection/>
    </xf>
    <xf numFmtId="0" fontId="20" fillId="6" borderId="73" xfId="0" applyFont="1" applyFill="1" applyBorder="1" applyAlignment="1" applyProtection="1">
      <alignment/>
      <protection/>
    </xf>
    <xf numFmtId="186" fontId="5" fillId="6" borderId="73" xfId="0" applyNumberFormat="1" applyFont="1" applyFill="1" applyBorder="1" applyAlignment="1" applyProtection="1">
      <alignment/>
      <protection/>
    </xf>
    <xf numFmtId="186" fontId="7" fillId="6" borderId="73" xfId="0" applyNumberFormat="1" applyFont="1" applyFill="1" applyBorder="1" applyAlignment="1" applyProtection="1">
      <alignment/>
      <protection/>
    </xf>
    <xf numFmtId="0" fontId="20" fillId="6" borderId="73" xfId="0" applyFont="1" applyFill="1" applyBorder="1" applyAlignment="1" applyProtection="1">
      <alignment horizontal="right"/>
      <protection/>
    </xf>
    <xf numFmtId="0" fontId="20" fillId="6" borderId="73" xfId="0" applyFont="1" applyFill="1" applyBorder="1" applyAlignment="1" applyProtection="1">
      <alignment/>
      <protection/>
    </xf>
    <xf numFmtId="0" fontId="7" fillId="6" borderId="73" xfId="0" applyFont="1" applyFill="1" applyBorder="1" applyAlignment="1" applyProtection="1">
      <alignment/>
      <protection/>
    </xf>
    <xf numFmtId="0" fontId="7" fillId="6" borderId="74" xfId="0" applyFont="1" applyFill="1" applyBorder="1" applyAlignment="1" applyProtection="1">
      <alignment/>
      <protection/>
    </xf>
    <xf numFmtId="0" fontId="4" fillId="0" borderId="65" xfId="0" applyFont="1" applyBorder="1" applyAlignment="1" applyProtection="1">
      <alignment/>
      <protection/>
    </xf>
    <xf numFmtId="0" fontId="4" fillId="0" borderId="75" xfId="0" applyFont="1" applyBorder="1" applyAlignment="1" applyProtection="1">
      <alignment/>
      <protection/>
    </xf>
    <xf numFmtId="0" fontId="20" fillId="6" borderId="74" xfId="0" applyFont="1" applyFill="1" applyBorder="1" applyAlignment="1" applyProtection="1">
      <alignment/>
      <protection/>
    </xf>
    <xf numFmtId="0" fontId="7" fillId="6" borderId="74" xfId="0" applyFont="1" applyFill="1" applyBorder="1" applyAlignment="1" applyProtection="1" quotePrefix="1">
      <alignment/>
      <protection/>
    </xf>
    <xf numFmtId="3" fontId="5" fillId="5" borderId="74" xfId="0" applyNumberFormat="1" applyFont="1" applyFill="1" applyBorder="1" applyAlignment="1" applyProtection="1">
      <alignment/>
      <protection/>
    </xf>
    <xf numFmtId="4" fontId="22" fillId="7" borderId="74" xfId="0" applyNumberFormat="1" applyFont="1" applyFill="1" applyBorder="1" applyAlignment="1" applyProtection="1">
      <alignment/>
      <protection/>
    </xf>
    <xf numFmtId="3" fontId="7" fillId="0" borderId="74" xfId="0" applyNumberFormat="1" applyFont="1" applyBorder="1" applyAlignment="1" applyProtection="1">
      <alignment/>
      <protection/>
    </xf>
    <xf numFmtId="3" fontId="5" fillId="0" borderId="74" xfId="0" applyNumberFormat="1" applyFont="1" applyBorder="1" applyAlignment="1" applyProtection="1">
      <alignment/>
      <protection/>
    </xf>
    <xf numFmtId="4" fontId="22" fillId="7" borderId="76" xfId="0" applyNumberFormat="1" applyFont="1" applyFill="1" applyBorder="1" applyAlignment="1" applyProtection="1">
      <alignment/>
      <protection/>
    </xf>
    <xf numFmtId="3" fontId="49" fillId="0" borderId="74" xfId="0" applyNumberFormat="1" applyFont="1" applyBorder="1" applyAlignment="1" applyProtection="1">
      <alignment/>
      <protection/>
    </xf>
    <xf numFmtId="3" fontId="7" fillId="0" borderId="73" xfId="0" applyNumberFormat="1" applyFont="1" applyBorder="1" applyAlignment="1" applyProtection="1">
      <alignment/>
      <protection/>
    </xf>
    <xf numFmtId="4" fontId="22" fillId="0" borderId="74" xfId="0" applyNumberFormat="1" applyFont="1" applyFill="1" applyBorder="1" applyAlignment="1" applyProtection="1">
      <alignment/>
      <protection/>
    </xf>
    <xf numFmtId="3" fontId="18" fillId="0" borderId="74" xfId="0" applyNumberFormat="1" applyFont="1" applyBorder="1" applyAlignment="1" applyProtection="1">
      <alignment/>
      <protection/>
    </xf>
    <xf numFmtId="3" fontId="7" fillId="0" borderId="74" xfId="0" applyNumberFormat="1" applyFont="1" applyBorder="1" applyAlignment="1" applyProtection="1">
      <alignment/>
      <protection/>
    </xf>
    <xf numFmtId="3" fontId="5" fillId="0" borderId="74" xfId="0" applyNumberFormat="1" applyFont="1" applyBorder="1" applyAlignment="1" applyProtection="1">
      <alignment/>
      <protection/>
    </xf>
    <xf numFmtId="3" fontId="39" fillId="0" borderId="74" xfId="0" applyNumberFormat="1" applyFont="1" applyBorder="1" applyAlignment="1" applyProtection="1">
      <alignment/>
      <protection/>
    </xf>
    <xf numFmtId="3" fontId="7" fillId="2" borderId="74" xfId="0" applyNumberFormat="1" applyFont="1" applyFill="1" applyBorder="1" applyAlignment="1" applyProtection="1">
      <alignment/>
      <protection/>
    </xf>
    <xf numFmtId="3" fontId="18" fillId="0" borderId="74" xfId="0" applyNumberFormat="1" applyFont="1" applyFill="1" applyBorder="1" applyAlignment="1" applyProtection="1">
      <alignment/>
      <protection/>
    </xf>
    <xf numFmtId="3" fontId="7" fillId="0" borderId="74" xfId="27" applyNumberFormat="1" applyFont="1" applyBorder="1" applyAlignment="1" applyProtection="1">
      <alignment/>
      <protection/>
    </xf>
    <xf numFmtId="3" fontId="36" fillId="0" borderId="74" xfId="0" applyNumberFormat="1" applyFont="1" applyBorder="1" applyAlignment="1" applyProtection="1">
      <alignment/>
      <protection/>
    </xf>
    <xf numFmtId="3" fontId="7" fillId="0" borderId="76" xfId="0" applyNumberFormat="1" applyFont="1" applyBorder="1" applyAlignment="1" applyProtection="1">
      <alignment/>
      <protection/>
    </xf>
    <xf numFmtId="3" fontId="39" fillId="0" borderId="74" xfId="0" applyNumberFormat="1" applyFont="1" applyBorder="1" applyAlignment="1" applyProtection="1">
      <alignment/>
      <protection/>
    </xf>
    <xf numFmtId="3" fontId="34" fillId="0" borderId="74" xfId="0" applyNumberFormat="1" applyFont="1" applyBorder="1" applyAlignment="1" applyProtection="1">
      <alignment/>
      <protection/>
    </xf>
    <xf numFmtId="3" fontId="7" fillId="0" borderId="74" xfId="0" applyNumberFormat="1" applyFont="1" applyFill="1" applyBorder="1" applyAlignment="1" applyProtection="1">
      <alignment/>
      <protection/>
    </xf>
    <xf numFmtId="3" fontId="39" fillId="2" borderId="74" xfId="0" applyNumberFormat="1" applyFont="1" applyFill="1" applyBorder="1" applyAlignment="1" applyProtection="1">
      <alignment/>
      <protection/>
    </xf>
    <xf numFmtId="3" fontId="7" fillId="2" borderId="73" xfId="0" applyNumberFormat="1" applyFont="1" applyFill="1" applyBorder="1" applyAlignment="1" applyProtection="1">
      <alignment/>
      <protection/>
    </xf>
    <xf numFmtId="3" fontId="5" fillId="2" borderId="74" xfId="0" applyNumberFormat="1" applyFont="1" applyFill="1" applyBorder="1" applyAlignment="1" applyProtection="1">
      <alignment/>
      <protection/>
    </xf>
    <xf numFmtId="4" fontId="50" fillId="7" borderId="74" xfId="0" applyNumberFormat="1" applyFont="1" applyFill="1" applyBorder="1" applyAlignment="1" applyProtection="1">
      <alignment/>
      <protection/>
    </xf>
    <xf numFmtId="3" fontId="5" fillId="2" borderId="74" xfId="0" applyNumberFormat="1" applyFont="1" applyFill="1" applyBorder="1" applyAlignment="1" applyProtection="1">
      <alignment/>
      <protection/>
    </xf>
    <xf numFmtId="3" fontId="5" fillId="0" borderId="73" xfId="0" applyNumberFormat="1" applyFont="1" applyBorder="1" applyAlignment="1" applyProtection="1">
      <alignment/>
      <protection/>
    </xf>
    <xf numFmtId="3" fontId="5" fillId="0" borderId="76" xfId="0" applyNumberFormat="1" applyFont="1" applyBorder="1" applyAlignment="1" applyProtection="1">
      <alignment/>
      <protection/>
    </xf>
    <xf numFmtId="3" fontId="34" fillId="0" borderId="74" xfId="0" applyNumberFormat="1" applyFont="1" applyBorder="1" applyAlignment="1" applyProtection="1">
      <alignment/>
      <protection/>
    </xf>
    <xf numFmtId="3" fontId="18" fillId="0" borderId="73" xfId="0" applyNumberFormat="1" applyFont="1" applyBorder="1" applyAlignment="1" applyProtection="1">
      <alignment/>
      <protection/>
    </xf>
    <xf numFmtId="3" fontId="18" fillId="0" borderId="73" xfId="0" applyNumberFormat="1" applyFont="1" applyFill="1" applyBorder="1" applyAlignment="1" applyProtection="1">
      <alignment/>
      <protection/>
    </xf>
    <xf numFmtId="3" fontId="31" fillId="0" borderId="73" xfId="0" applyNumberFormat="1" applyFont="1" applyFill="1" applyBorder="1" applyAlignment="1" applyProtection="1">
      <alignment/>
      <protection/>
    </xf>
    <xf numFmtId="3" fontId="7" fillId="0" borderId="77" xfId="0" applyNumberFormat="1" applyFont="1" applyBorder="1" applyAlignment="1" applyProtection="1">
      <alignment/>
      <protection/>
    </xf>
    <xf numFmtId="3" fontId="7" fillId="5" borderId="74" xfId="0" applyNumberFormat="1" applyFont="1" applyFill="1" applyBorder="1" applyAlignment="1" applyProtection="1">
      <alignment/>
      <protection/>
    </xf>
    <xf numFmtId="4" fontId="22" fillId="7" borderId="78" xfId="0" applyNumberFormat="1" applyFont="1" applyFill="1" applyBorder="1" applyAlignment="1" applyProtection="1">
      <alignment/>
      <protection/>
    </xf>
    <xf numFmtId="0" fontId="22" fillId="7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39" fillId="0" borderId="26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21" fillId="0" borderId="26" xfId="0" applyFont="1" applyBorder="1" applyAlignment="1" applyProtection="1" quotePrefix="1">
      <alignment/>
      <protection/>
    </xf>
    <xf numFmtId="0" fontId="22" fillId="0" borderId="26" xfId="0" applyFont="1" applyFill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22" fillId="7" borderId="27" xfId="0" applyFont="1" applyFill="1" applyBorder="1" applyAlignment="1" applyProtection="1">
      <alignment/>
      <protection/>
    </xf>
    <xf numFmtId="0" fontId="34" fillId="0" borderId="26" xfId="0" applyFont="1" applyBorder="1" applyAlignment="1" applyProtection="1">
      <alignment/>
      <protection/>
    </xf>
    <xf numFmtId="3" fontId="22" fillId="7" borderId="29" xfId="0" applyNumberFormat="1" applyFont="1" applyFill="1" applyBorder="1" applyAlignment="1" applyProtection="1">
      <alignment/>
      <protection/>
    </xf>
    <xf numFmtId="3" fontId="7" fillId="2" borderId="29" xfId="0" applyNumberFormat="1" applyFont="1" applyFill="1" applyBorder="1" applyAlignment="1" applyProtection="1">
      <alignment/>
      <protection/>
    </xf>
    <xf numFmtId="3" fontId="5" fillId="0" borderId="29" xfId="0" applyNumberFormat="1" applyFont="1" applyBorder="1" applyAlignment="1" applyProtection="1">
      <alignment/>
      <protection/>
    </xf>
    <xf numFmtId="3" fontId="7" fillId="0" borderId="27" xfId="0" applyNumberFormat="1" applyFont="1" applyBorder="1" applyAlignment="1" applyProtection="1">
      <alignment/>
      <protection/>
    </xf>
    <xf numFmtId="3" fontId="7" fillId="0" borderId="29" xfId="0" applyNumberFormat="1" applyFont="1" applyBorder="1" applyAlignment="1" applyProtection="1">
      <alignment/>
      <protection/>
    </xf>
    <xf numFmtId="3" fontId="31" fillId="0" borderId="29" xfId="0" applyNumberFormat="1" applyFont="1" applyBorder="1" applyAlignment="1" applyProtection="1">
      <alignment/>
      <protection/>
    </xf>
    <xf numFmtId="3" fontId="43" fillId="0" borderId="29" xfId="0" applyNumberFormat="1" applyFont="1" applyFill="1" applyBorder="1" applyAlignment="1" applyProtection="1">
      <alignment/>
      <protection/>
    </xf>
    <xf numFmtId="3" fontId="18" fillId="0" borderId="26" xfId="0" applyNumberFormat="1" applyFont="1" applyBorder="1" applyAlignment="1" applyProtection="1">
      <alignment/>
      <protection/>
    </xf>
    <xf numFmtId="3" fontId="7" fillId="0" borderId="26" xfId="0" applyNumberFormat="1" applyFont="1" applyBorder="1" applyAlignment="1" applyProtection="1" quotePrefix="1">
      <alignment/>
      <protection/>
    </xf>
    <xf numFmtId="3" fontId="7" fillId="0" borderId="26" xfId="0" applyNumberFormat="1" applyFont="1" applyBorder="1" applyAlignment="1" applyProtection="1">
      <alignment/>
      <protection/>
    </xf>
    <xf numFmtId="3" fontId="18" fillId="0" borderId="27" xfId="0" applyNumberFormat="1" applyFont="1" applyFill="1" applyBorder="1" applyAlignment="1" applyProtection="1">
      <alignment/>
      <protection/>
    </xf>
    <xf numFmtId="3" fontId="5" fillId="0" borderId="26" xfId="0" applyNumberFormat="1" applyFont="1" applyBorder="1" applyAlignment="1" applyProtection="1">
      <alignment/>
      <protection/>
    </xf>
    <xf numFmtId="3" fontId="22" fillId="7" borderId="2" xfId="0" applyNumberFormat="1" applyFont="1" applyFill="1" applyBorder="1" applyAlignment="1" applyProtection="1">
      <alignment/>
      <protection/>
    </xf>
    <xf numFmtId="3" fontId="7" fillId="0" borderId="30" xfId="0" applyNumberFormat="1" applyFont="1" applyBorder="1" applyAlignment="1" applyProtection="1">
      <alignment/>
      <protection/>
    </xf>
    <xf numFmtId="3" fontId="21" fillId="0" borderId="2" xfId="0" applyNumberFormat="1" applyFont="1" applyBorder="1" applyAlignment="1" applyProtection="1" quotePrefix="1">
      <alignment/>
      <protection/>
    </xf>
    <xf numFmtId="3" fontId="7" fillId="0" borderId="2" xfId="0" applyNumberFormat="1" applyFont="1" applyBorder="1" applyAlignment="1" applyProtection="1" quotePrefix="1">
      <alignment/>
      <protection/>
    </xf>
    <xf numFmtId="3" fontId="22" fillId="7" borderId="23" xfId="0" applyNumberFormat="1" applyFont="1" applyFill="1" applyBorder="1" applyAlignment="1" applyProtection="1">
      <alignment/>
      <protection/>
    </xf>
    <xf numFmtId="3" fontId="18" fillId="0" borderId="31" xfId="0" applyNumberFormat="1" applyFont="1" applyFill="1" applyBorder="1" applyAlignment="1" applyProtection="1">
      <alignment/>
      <protection/>
    </xf>
    <xf numFmtId="3" fontId="18" fillId="0" borderId="9" xfId="0" applyNumberFormat="1" applyFont="1" applyFill="1" applyBorder="1" applyAlignment="1" applyProtection="1">
      <alignment/>
      <protection/>
    </xf>
    <xf numFmtId="3" fontId="18" fillId="0" borderId="21" xfId="0" applyNumberFormat="1" applyFont="1" applyFill="1" applyBorder="1" applyAlignment="1" applyProtection="1">
      <alignment/>
      <protection/>
    </xf>
    <xf numFmtId="3" fontId="39" fillId="0" borderId="9" xfId="0" applyNumberFormat="1" applyFont="1" applyBorder="1" applyAlignment="1" applyProtection="1">
      <alignment/>
      <protection/>
    </xf>
    <xf numFmtId="3" fontId="34" fillId="0" borderId="2" xfId="0" applyNumberFormat="1" applyFont="1" applyBorder="1" applyAlignment="1" applyProtection="1">
      <alignment/>
      <protection/>
    </xf>
    <xf numFmtId="3" fontId="18" fillId="0" borderId="21" xfId="0" applyNumberFormat="1" applyFont="1" applyFill="1" applyBorder="1" applyAlignment="1" applyProtection="1" quotePrefix="1">
      <alignment/>
      <protection/>
    </xf>
    <xf numFmtId="3" fontId="18" fillId="0" borderId="9" xfId="0" applyNumberFormat="1" applyFont="1" applyFill="1" applyBorder="1" applyAlignment="1" applyProtection="1" quotePrefix="1">
      <alignment/>
      <protection/>
    </xf>
    <xf numFmtId="3" fontId="18" fillId="0" borderId="31" xfId="0" applyNumberFormat="1" applyFont="1" applyFill="1" applyBorder="1" applyAlignment="1" applyProtection="1" quotePrefix="1">
      <alignment/>
      <protection/>
    </xf>
    <xf numFmtId="3" fontId="18" fillId="0" borderId="25" xfId="0" applyNumberFormat="1" applyFont="1" applyFill="1" applyBorder="1" applyAlignment="1" applyProtection="1" quotePrefix="1">
      <alignment/>
      <protection/>
    </xf>
    <xf numFmtId="3" fontId="7" fillId="0" borderId="36" xfId="0" applyNumberFormat="1" applyFont="1" applyBorder="1" applyAlignment="1" applyProtection="1">
      <alignment/>
      <protection/>
    </xf>
    <xf numFmtId="3" fontId="24" fillId="5" borderId="29" xfId="0" applyNumberFormat="1" applyFont="1" applyFill="1" applyBorder="1" applyAlignment="1" applyProtection="1">
      <alignment/>
      <protection/>
    </xf>
    <xf numFmtId="3" fontId="7" fillId="0" borderId="29" xfId="0" applyNumberFormat="1" applyFont="1" applyBorder="1" applyAlignment="1" applyProtection="1">
      <alignment/>
      <protection/>
    </xf>
    <xf numFmtId="3" fontId="18" fillId="0" borderId="2" xfId="0" applyNumberFormat="1" applyFont="1" applyFill="1" applyBorder="1" applyAlignment="1" applyProtection="1" quotePrefix="1">
      <alignment/>
      <protection/>
    </xf>
    <xf numFmtId="3" fontId="7" fillId="0" borderId="79" xfId="0" applyNumberFormat="1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4" fontId="4" fillId="0" borderId="0" xfId="0" applyNumberFormat="1" applyFont="1" applyAlignment="1">
      <alignment/>
    </xf>
    <xf numFmtId="185" fontId="18" fillId="2" borderId="2" xfId="0" applyNumberFormat="1" applyFont="1" applyFill="1" applyBorder="1" applyAlignment="1" applyProtection="1">
      <alignment/>
      <protection/>
    </xf>
    <xf numFmtId="185" fontId="18" fillId="2" borderId="25" xfId="0" applyNumberFormat="1" applyFont="1" applyFill="1" applyBorder="1" applyAlignment="1" applyProtection="1">
      <alignment/>
      <protection/>
    </xf>
    <xf numFmtId="0" fontId="18" fillId="0" borderId="28" xfId="0" applyFont="1" applyBorder="1" applyAlignment="1" applyProtection="1">
      <alignment/>
      <protection/>
    </xf>
    <xf numFmtId="0" fontId="18" fillId="0" borderId="25" xfId="0" applyFont="1" applyBorder="1" applyAlignment="1" applyProtection="1">
      <alignment/>
      <protection/>
    </xf>
    <xf numFmtId="0" fontId="18" fillId="0" borderId="29" xfId="0" applyFont="1" applyBorder="1" applyAlignment="1" applyProtection="1">
      <alignment/>
      <protection/>
    </xf>
    <xf numFmtId="3" fontId="18" fillId="0" borderId="29" xfId="0" applyNumberFormat="1" applyFont="1" applyBorder="1" applyAlignment="1" applyProtection="1">
      <alignment/>
      <protection/>
    </xf>
    <xf numFmtId="185" fontId="18" fillId="2" borderId="2" xfId="0" applyNumberFormat="1" applyFont="1" applyFill="1" applyBorder="1" applyAlignment="1" applyProtection="1">
      <alignment/>
      <protection/>
    </xf>
    <xf numFmtId="185" fontId="18" fillId="2" borderId="25" xfId="0" applyNumberFormat="1" applyFont="1" applyFill="1" applyBorder="1" applyAlignment="1" applyProtection="1">
      <alignment/>
      <protection/>
    </xf>
    <xf numFmtId="0" fontId="34" fillId="0" borderId="27" xfId="0" applyFont="1" applyFill="1" applyBorder="1" applyAlignment="1" applyProtection="1">
      <alignment/>
      <protection/>
    </xf>
    <xf numFmtId="0" fontId="34" fillId="0" borderId="28" xfId="0" applyFont="1" applyFill="1" applyBorder="1" applyAlignment="1" applyProtection="1">
      <alignment horizontal="right"/>
      <protection/>
    </xf>
    <xf numFmtId="185" fontId="5" fillId="5" borderId="25" xfId="0" applyNumberFormat="1" applyFont="1" applyFill="1" applyBorder="1" applyAlignment="1" applyProtection="1">
      <alignment/>
      <protection/>
    </xf>
    <xf numFmtId="0" fontId="4" fillId="0" borderId="0" xfId="0" applyFont="1" applyAlignment="1" quotePrefix="1">
      <alignment/>
    </xf>
    <xf numFmtId="0" fontId="6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5" fillId="4" borderId="11" xfId="0" applyFont="1" applyFill="1" applyBorder="1" applyAlignment="1" applyProtection="1" quotePrefix="1">
      <alignment horizontal="center" vertical="center"/>
      <protection/>
    </xf>
    <xf numFmtId="3" fontId="34" fillId="2" borderId="2" xfId="0" applyNumberFormat="1" applyFont="1" applyFill="1" applyBorder="1" applyAlignment="1" applyProtection="1">
      <alignment/>
      <protection/>
    </xf>
  </cellXfs>
  <cellStyles count="14">
    <cellStyle name="Normal" xfId="0"/>
    <cellStyle name="Comma0" xfId="15"/>
    <cellStyle name="Currency0" xfId="16"/>
    <cellStyle name="Date" xfId="17"/>
    <cellStyle name="Fixed" xfId="18"/>
    <cellStyle name="Heading 1" xfId="19"/>
    <cellStyle name="Heading 2" xfId="20"/>
    <cellStyle name="Hyperlink" xfId="21"/>
    <cellStyle name="Navadno_FN02pomesecih" xfId="22"/>
    <cellStyle name="Followed Hyperlink" xfId="23"/>
    <cellStyle name="Percent" xfId="24"/>
    <cellStyle name="Total" xfId="25"/>
    <cellStyle name="Currency" xfId="26"/>
    <cellStyle name="Comma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27"/>
  <sheetViews>
    <sheetView tabSelected="1" zoomScale="70" zoomScaleNormal="70" workbookViewId="0" topLeftCell="A1">
      <selection activeCell="D7" sqref="D7"/>
    </sheetView>
  </sheetViews>
  <sheetFormatPr defaultColWidth="9.140625" defaultRowHeight="12.75"/>
  <cols>
    <col min="1" max="1" width="11.57421875" style="1" customWidth="1"/>
    <col min="2" max="2" width="3.140625" style="1" customWidth="1"/>
    <col min="3" max="3" width="66.28125" style="1" customWidth="1"/>
    <col min="4" max="4" width="20.28125" style="1" customWidth="1"/>
    <col min="5" max="5" width="21.28125" style="1" customWidth="1"/>
    <col min="6" max="6" width="17.421875" style="1" customWidth="1"/>
    <col min="7" max="7" width="21.140625" style="1" customWidth="1"/>
    <col min="8" max="20" width="20.7109375" style="1" hidden="1" customWidth="1"/>
    <col min="21" max="21" width="20.7109375" style="1" customWidth="1"/>
    <col min="22" max="22" width="10.00390625" style="1" hidden="1" customWidth="1"/>
    <col min="23" max="23" width="9.8515625" style="1" hidden="1" customWidth="1"/>
    <col min="24" max="24" width="10.421875" style="1" customWidth="1"/>
    <col min="25" max="25" width="17.00390625" style="1" customWidth="1"/>
    <col min="26" max="26" width="17.57421875" style="1" customWidth="1"/>
    <col min="27" max="27" width="14.28125" style="1" customWidth="1"/>
    <col min="28" max="28" width="14.57421875" style="1" customWidth="1"/>
    <col min="29" max="29" width="11.140625" style="1" customWidth="1"/>
    <col min="30" max="31" width="10.28125" style="1" customWidth="1"/>
    <col min="32" max="32" width="11.8515625" style="1" customWidth="1"/>
    <col min="33" max="33" width="11.140625" style="1" customWidth="1"/>
    <col min="34" max="16384" width="10.28125" style="1" customWidth="1"/>
  </cols>
  <sheetData>
    <row r="1" spans="1:25" ht="29.25" customHeight="1">
      <c r="A1" s="4"/>
      <c r="B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9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3.75">
      <c r="A3" s="26" t="s">
        <v>309</v>
      </c>
      <c r="B3" s="25"/>
      <c r="C3" s="27"/>
      <c r="D3" s="2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5"/>
      <c r="V3" s="30"/>
      <c r="W3" s="30"/>
      <c r="X3" s="577" t="s">
        <v>333</v>
      </c>
      <c r="Y3" s="30"/>
    </row>
    <row r="4" spans="1:25" ht="33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30" customHeight="1">
      <c r="A5" s="26"/>
      <c r="B5" s="26"/>
      <c r="C5" s="429" t="s">
        <v>337</v>
      </c>
      <c r="D5" s="429"/>
      <c r="E5" s="33"/>
      <c r="F5" s="33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1:25" ht="30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31.5">
      <c r="A7" s="31"/>
      <c r="B7" s="27"/>
      <c r="C7" s="33"/>
      <c r="D7" s="33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s="5" customFormat="1" ht="26.25">
      <c r="A8" s="31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2"/>
      <c r="W8" s="28"/>
      <c r="X8" s="28"/>
      <c r="Y8" s="28"/>
    </row>
    <row r="9" spans="1:25" ht="13.5" customHeight="1">
      <c r="A9" s="9" t="s">
        <v>0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7" ht="18" customHeight="1">
      <c r="A10" s="34" t="s">
        <v>259</v>
      </c>
      <c r="B10" s="35"/>
      <c r="C10" s="35"/>
      <c r="D10" s="35"/>
      <c r="E10" s="36"/>
      <c r="F10" s="36"/>
      <c r="G10" s="36"/>
      <c r="H10" s="36"/>
      <c r="I10" s="36"/>
      <c r="J10" s="36"/>
      <c r="K10" s="36"/>
      <c r="L10" s="415" t="s">
        <v>306</v>
      </c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AA10" s="576"/>
    </row>
    <row r="11" spans="1:25" ht="18" customHeight="1" thickBot="1">
      <c r="A11" s="37"/>
      <c r="B11" s="38"/>
      <c r="C11" s="38"/>
      <c r="D11" s="38"/>
      <c r="E11" s="39"/>
      <c r="F11" s="39"/>
      <c r="G11" s="39"/>
      <c r="H11" s="39"/>
      <c r="I11" s="39"/>
      <c r="J11" s="39"/>
      <c r="K11" s="39"/>
      <c r="L11" s="414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16"/>
      <c r="Y11" s="281" t="s">
        <v>313</v>
      </c>
    </row>
    <row r="12" spans="1:25" ht="41.25" customHeight="1">
      <c r="A12" s="40"/>
      <c r="B12" s="41"/>
      <c r="C12" s="42"/>
      <c r="D12" s="43" t="s">
        <v>315</v>
      </c>
      <c r="E12" s="43" t="s">
        <v>3</v>
      </c>
      <c r="F12" s="446" t="s">
        <v>312</v>
      </c>
      <c r="G12" s="43" t="s">
        <v>260</v>
      </c>
      <c r="H12" s="44" t="s">
        <v>3</v>
      </c>
      <c r="I12" s="44" t="s">
        <v>3</v>
      </c>
      <c r="J12" s="44" t="s">
        <v>3</v>
      </c>
      <c r="K12" s="44" t="s">
        <v>3</v>
      </c>
      <c r="L12" s="44"/>
      <c r="M12" s="44"/>
      <c r="N12" s="44"/>
      <c r="O12" s="44"/>
      <c r="P12" s="44"/>
      <c r="Q12" s="44"/>
      <c r="R12" s="44"/>
      <c r="S12" s="44"/>
      <c r="T12" s="45" t="s">
        <v>307</v>
      </c>
      <c r="U12" s="46" t="s">
        <v>7</v>
      </c>
      <c r="V12" s="47" t="s">
        <v>4</v>
      </c>
      <c r="W12" s="48" t="s">
        <v>5</v>
      </c>
      <c r="X12" s="47" t="s">
        <v>4</v>
      </c>
      <c r="Y12" s="467" t="s">
        <v>312</v>
      </c>
    </row>
    <row r="13" spans="1:25" ht="24" customHeight="1">
      <c r="A13" s="49"/>
      <c r="B13" s="50"/>
      <c r="C13" s="51"/>
      <c r="D13" s="422" t="s">
        <v>334</v>
      </c>
      <c r="E13" s="52">
        <v>2003</v>
      </c>
      <c r="F13" s="447" t="s">
        <v>314</v>
      </c>
      <c r="G13" s="52" t="s">
        <v>261</v>
      </c>
      <c r="H13" s="52" t="s">
        <v>262</v>
      </c>
      <c r="I13" s="53" t="s">
        <v>263</v>
      </c>
      <c r="J13" s="52" t="s">
        <v>264</v>
      </c>
      <c r="K13" s="52" t="s">
        <v>265</v>
      </c>
      <c r="L13" s="52" t="s">
        <v>266</v>
      </c>
      <c r="M13" s="52" t="s">
        <v>267</v>
      </c>
      <c r="N13" s="52" t="s">
        <v>268</v>
      </c>
      <c r="O13" s="52" t="s">
        <v>269</v>
      </c>
      <c r="P13" s="52" t="s">
        <v>270</v>
      </c>
      <c r="Q13" s="52" t="s">
        <v>271</v>
      </c>
      <c r="R13" s="52" t="s">
        <v>272</v>
      </c>
      <c r="S13" s="52" t="s">
        <v>273</v>
      </c>
      <c r="T13" s="52" t="s">
        <v>308</v>
      </c>
      <c r="U13" s="54">
        <v>2004</v>
      </c>
      <c r="V13" s="55" t="s">
        <v>8</v>
      </c>
      <c r="W13" s="56" t="s">
        <v>9</v>
      </c>
      <c r="X13" s="55" t="s">
        <v>8</v>
      </c>
      <c r="Y13" s="468" t="s">
        <v>314</v>
      </c>
    </row>
    <row r="14" spans="1:25" ht="18" customHeight="1">
      <c r="A14" s="57" t="s">
        <v>1</v>
      </c>
      <c r="B14" s="50"/>
      <c r="C14" s="51"/>
      <c r="D14" s="578" t="s">
        <v>335</v>
      </c>
      <c r="E14" s="58"/>
      <c r="F14" s="448"/>
      <c r="G14" s="52">
        <v>2004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4" t="s">
        <v>336</v>
      </c>
      <c r="V14" s="55" t="s">
        <v>304</v>
      </c>
      <c r="W14" s="56" t="s">
        <v>305</v>
      </c>
      <c r="X14" s="55" t="s">
        <v>311</v>
      </c>
      <c r="Y14" s="468"/>
    </row>
    <row r="15" spans="1:25" ht="15" customHeight="1" thickBot="1">
      <c r="A15" s="59"/>
      <c r="B15" s="60"/>
      <c r="C15" s="61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3">
        <v>2003</v>
      </c>
      <c r="W15" s="64">
        <v>2003</v>
      </c>
      <c r="X15" s="63">
        <v>2003</v>
      </c>
      <c r="Y15" s="469"/>
    </row>
    <row r="16" spans="1:25" ht="15" customHeight="1" thickBot="1" thickTop="1">
      <c r="A16" s="65" t="s">
        <v>0</v>
      </c>
      <c r="B16" s="66"/>
      <c r="C16" s="67"/>
      <c r="D16" s="464">
        <v>1</v>
      </c>
      <c r="E16" s="464">
        <v>2</v>
      </c>
      <c r="F16" s="465" t="s">
        <v>316</v>
      </c>
      <c r="G16" s="465">
        <v>4</v>
      </c>
      <c r="H16" s="465"/>
      <c r="I16" s="465"/>
      <c r="J16" s="465"/>
      <c r="K16" s="465"/>
      <c r="L16" s="465"/>
      <c r="M16" s="465"/>
      <c r="N16" s="465"/>
      <c r="O16" s="465"/>
      <c r="P16" s="465"/>
      <c r="Q16" s="465"/>
      <c r="R16" s="465"/>
      <c r="S16" s="465"/>
      <c r="T16" s="465">
        <v>2</v>
      </c>
      <c r="U16" s="464">
        <v>5</v>
      </c>
      <c r="V16" s="68" t="s">
        <v>11</v>
      </c>
      <c r="W16" s="69"/>
      <c r="X16" s="466" t="s">
        <v>317</v>
      </c>
      <c r="Y16" s="470" t="s">
        <v>318</v>
      </c>
    </row>
    <row r="17" spans="1:25" ht="18" hidden="1">
      <c r="A17" s="70"/>
      <c r="B17" s="71" t="s">
        <v>12</v>
      </c>
      <c r="C17" s="72"/>
      <c r="D17" s="72"/>
      <c r="E17" s="73"/>
      <c r="F17" s="73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3"/>
      <c r="V17" s="73"/>
      <c r="W17" s="75">
        <v>104.9</v>
      </c>
      <c r="X17" s="75"/>
      <c r="Y17" s="471">
        <v>104.9</v>
      </c>
    </row>
    <row r="18" spans="1:25" ht="14.25" hidden="1">
      <c r="A18" s="76"/>
      <c r="B18" s="77"/>
      <c r="C18" s="78"/>
      <c r="D18" s="78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80"/>
      <c r="X18" s="80"/>
      <c r="Y18" s="472"/>
    </row>
    <row r="19" spans="1:25" ht="14.25" hidden="1">
      <c r="A19" s="81"/>
      <c r="B19" s="82"/>
      <c r="C19" s="83" t="s">
        <v>13</v>
      </c>
      <c r="D19" s="83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5"/>
      <c r="X19" s="85"/>
      <c r="Y19" s="473"/>
    </row>
    <row r="20" spans="1:25" ht="15.75" hidden="1">
      <c r="A20" s="81"/>
      <c r="B20" s="85"/>
      <c r="C20" s="86" t="s">
        <v>14</v>
      </c>
      <c r="D20" s="86"/>
      <c r="E20" s="87">
        <v>105.8</v>
      </c>
      <c r="F20" s="87"/>
      <c r="G20" s="87">
        <v>104.9</v>
      </c>
      <c r="H20" s="408">
        <v>1</v>
      </c>
      <c r="I20" s="408">
        <v>1.005</v>
      </c>
      <c r="J20" s="408">
        <v>1.007</v>
      </c>
      <c r="K20" s="408">
        <v>1.005</v>
      </c>
      <c r="L20" s="408">
        <v>1.005</v>
      </c>
      <c r="M20" s="408">
        <v>1.003</v>
      </c>
      <c r="N20" s="408">
        <v>1.005</v>
      </c>
      <c r="O20" s="408">
        <v>0.996</v>
      </c>
      <c r="P20" s="408">
        <v>1.003</v>
      </c>
      <c r="Q20" s="408">
        <v>1.003</v>
      </c>
      <c r="R20" s="408">
        <v>1.003</v>
      </c>
      <c r="S20" s="408">
        <v>1.001</v>
      </c>
      <c r="T20" s="87"/>
      <c r="U20" s="87">
        <v>104.9</v>
      </c>
      <c r="V20" s="87"/>
      <c r="W20" s="88"/>
      <c r="X20" s="88"/>
      <c r="Y20" s="474"/>
    </row>
    <row r="21" spans="1:25" ht="15.75" hidden="1">
      <c r="A21" s="81"/>
      <c r="B21" s="85"/>
      <c r="C21" s="86" t="s">
        <v>303</v>
      </c>
      <c r="D21" s="86"/>
      <c r="E21" s="87"/>
      <c r="F21" s="87"/>
      <c r="G21" s="87"/>
      <c r="H21" s="408">
        <v>1</v>
      </c>
      <c r="I21" s="408">
        <v>1.206</v>
      </c>
      <c r="J21" s="408">
        <v>0.839</v>
      </c>
      <c r="K21" s="408">
        <v>1.005</v>
      </c>
      <c r="L21" s="408">
        <v>1.005</v>
      </c>
      <c r="M21" s="408">
        <v>1.003</v>
      </c>
      <c r="N21" s="408">
        <v>1.005</v>
      </c>
      <c r="O21" s="408">
        <v>0.996</v>
      </c>
      <c r="P21" s="408">
        <v>1.003</v>
      </c>
      <c r="Q21" s="408">
        <v>1.003</v>
      </c>
      <c r="R21" s="408">
        <v>1.003</v>
      </c>
      <c r="S21" s="408">
        <v>1.001</v>
      </c>
      <c r="T21" s="87"/>
      <c r="U21" s="87"/>
      <c r="V21" s="87"/>
      <c r="W21" s="88"/>
      <c r="X21" s="88"/>
      <c r="Y21" s="474"/>
    </row>
    <row r="22" spans="1:25" ht="15.75" hidden="1">
      <c r="A22" s="81"/>
      <c r="B22" s="85"/>
      <c r="C22" s="86" t="s">
        <v>302</v>
      </c>
      <c r="D22" s="86"/>
      <c r="E22" s="87"/>
      <c r="F22" s="87"/>
      <c r="G22" s="87"/>
      <c r="H22" s="408">
        <v>1</v>
      </c>
      <c r="I22" s="408">
        <v>1.142</v>
      </c>
      <c r="J22" s="408">
        <v>0.887</v>
      </c>
      <c r="K22" s="408">
        <v>1.005</v>
      </c>
      <c r="L22" s="408">
        <v>1.005</v>
      </c>
      <c r="M22" s="408">
        <v>1.003</v>
      </c>
      <c r="N22" s="408">
        <v>1.005</v>
      </c>
      <c r="O22" s="408">
        <v>0.996</v>
      </c>
      <c r="P22" s="408">
        <v>1.003</v>
      </c>
      <c r="Q22" s="408">
        <v>1.003</v>
      </c>
      <c r="R22" s="408">
        <v>1.003</v>
      </c>
      <c r="S22" s="408">
        <v>1.001</v>
      </c>
      <c r="T22" s="87"/>
      <c r="U22" s="87"/>
      <c r="V22" s="87"/>
      <c r="W22" s="88"/>
      <c r="X22" s="88"/>
      <c r="Y22" s="474"/>
    </row>
    <row r="23" spans="1:25" ht="15" hidden="1">
      <c r="A23" s="81"/>
      <c r="B23" s="85"/>
      <c r="C23" s="89" t="s">
        <v>15</v>
      </c>
      <c r="D23" s="89"/>
      <c r="E23" s="90">
        <v>108.5</v>
      </c>
      <c r="F23" s="90"/>
      <c r="G23" s="90">
        <v>108</v>
      </c>
      <c r="H23" s="409">
        <v>1</v>
      </c>
      <c r="I23" s="409">
        <v>1.026</v>
      </c>
      <c r="J23" s="409">
        <v>1.002</v>
      </c>
      <c r="K23" s="409">
        <v>1.024</v>
      </c>
      <c r="L23" s="409">
        <v>1</v>
      </c>
      <c r="M23" s="409">
        <v>1.0124</v>
      </c>
      <c r="N23" s="409">
        <v>1.014</v>
      </c>
      <c r="O23" s="409">
        <v>0.98</v>
      </c>
      <c r="P23" s="409">
        <v>1.022</v>
      </c>
      <c r="Q23" s="409">
        <v>1.006</v>
      </c>
      <c r="R23" s="409">
        <v>1.002</v>
      </c>
      <c r="S23" s="409">
        <v>1.14</v>
      </c>
      <c r="T23" s="90"/>
      <c r="U23" s="90">
        <v>108</v>
      </c>
      <c r="V23" s="90"/>
      <c r="W23" s="91"/>
      <c r="X23" s="91"/>
      <c r="Y23" s="475"/>
    </row>
    <row r="24" spans="1:25" ht="15" hidden="1">
      <c r="A24" s="81"/>
      <c r="B24" s="85"/>
      <c r="C24" s="89" t="s">
        <v>16</v>
      </c>
      <c r="D24" s="89"/>
      <c r="E24" s="90">
        <v>107.5</v>
      </c>
      <c r="F24" s="90"/>
      <c r="G24" s="90">
        <v>107</v>
      </c>
      <c r="H24" s="90">
        <v>1</v>
      </c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>
        <v>107</v>
      </c>
      <c r="V24" s="90"/>
      <c r="W24" s="91"/>
      <c r="X24" s="91"/>
      <c r="Y24" s="475"/>
    </row>
    <row r="25" spans="1:25" ht="15" hidden="1">
      <c r="A25" s="81"/>
      <c r="B25" s="85"/>
      <c r="C25" s="89" t="s">
        <v>17</v>
      </c>
      <c r="D25" s="89"/>
      <c r="E25" s="90">
        <v>2</v>
      </c>
      <c r="F25" s="90"/>
      <c r="G25" s="90">
        <v>2</v>
      </c>
      <c r="H25" s="90">
        <v>1</v>
      </c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>
        <v>2</v>
      </c>
      <c r="V25" s="90"/>
      <c r="W25" s="91"/>
      <c r="X25" s="91"/>
      <c r="Y25" s="475"/>
    </row>
    <row r="26" spans="1:25" ht="15" hidden="1">
      <c r="A26" s="81"/>
      <c r="B26" s="85"/>
      <c r="C26" s="89" t="s">
        <v>18</v>
      </c>
      <c r="D26" s="89"/>
      <c r="E26" s="90">
        <v>105.9</v>
      </c>
      <c r="F26" s="90"/>
      <c r="G26" s="90">
        <v>103.13</v>
      </c>
      <c r="H26" s="90">
        <v>1</v>
      </c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>
        <v>103.13</v>
      </c>
      <c r="V26" s="90"/>
      <c r="W26" s="91"/>
      <c r="X26" s="91"/>
      <c r="Y26" s="475"/>
    </row>
    <row r="27" spans="1:25" ht="15" customHeight="1" hidden="1">
      <c r="A27" s="81"/>
      <c r="B27" s="85"/>
      <c r="C27" s="89" t="s">
        <v>19</v>
      </c>
      <c r="D27" s="89"/>
      <c r="E27" s="92">
        <v>2.5</v>
      </c>
      <c r="F27" s="92"/>
      <c r="G27" s="92">
        <v>2.5</v>
      </c>
      <c r="H27" s="409">
        <v>1</v>
      </c>
      <c r="I27" s="409">
        <v>1</v>
      </c>
      <c r="J27" s="409">
        <v>1</v>
      </c>
      <c r="K27" s="409">
        <v>1</v>
      </c>
      <c r="L27" s="409">
        <v>1</v>
      </c>
      <c r="M27" s="409">
        <v>1</v>
      </c>
      <c r="N27" s="409">
        <v>1.025</v>
      </c>
      <c r="O27" s="409">
        <v>1</v>
      </c>
      <c r="P27" s="409">
        <v>1</v>
      </c>
      <c r="Q27" s="409">
        <v>1</v>
      </c>
      <c r="R27" s="409">
        <v>1</v>
      </c>
      <c r="S27" s="409">
        <v>1</v>
      </c>
      <c r="T27" s="92"/>
      <c r="U27" s="92">
        <v>2.5</v>
      </c>
      <c r="V27" s="84"/>
      <c r="W27" s="85"/>
      <c r="X27" s="85"/>
      <c r="Y27" s="473"/>
    </row>
    <row r="28" spans="1:25" ht="15" customHeight="1" hidden="1">
      <c r="A28" s="81"/>
      <c r="B28" s="85"/>
      <c r="C28" s="89" t="s">
        <v>299</v>
      </c>
      <c r="D28" s="89"/>
      <c r="E28" s="92"/>
      <c r="F28" s="92"/>
      <c r="G28" s="92"/>
      <c r="H28" s="409">
        <v>1</v>
      </c>
      <c r="I28" s="409">
        <v>1.2</v>
      </c>
      <c r="J28" s="409">
        <v>0.834</v>
      </c>
      <c r="K28" s="409">
        <v>1</v>
      </c>
      <c r="L28" s="409">
        <v>1</v>
      </c>
      <c r="M28" s="409">
        <v>1</v>
      </c>
      <c r="N28" s="409">
        <v>1.025</v>
      </c>
      <c r="O28" s="409">
        <v>1</v>
      </c>
      <c r="P28" s="409">
        <v>1</v>
      </c>
      <c r="Q28" s="409">
        <v>1</v>
      </c>
      <c r="R28" s="409">
        <v>1</v>
      </c>
      <c r="S28" s="409">
        <v>1</v>
      </c>
      <c r="T28" s="92"/>
      <c r="U28" s="92"/>
      <c r="V28" s="84"/>
      <c r="W28" s="85"/>
      <c r="X28" s="85"/>
      <c r="Y28" s="473"/>
    </row>
    <row r="29" spans="1:25" ht="15" customHeight="1" hidden="1">
      <c r="A29" s="81"/>
      <c r="B29" s="85"/>
      <c r="C29" s="89" t="s">
        <v>300</v>
      </c>
      <c r="D29" s="89"/>
      <c r="E29" s="92"/>
      <c r="F29" s="92"/>
      <c r="G29" s="92"/>
      <c r="H29" s="409">
        <v>1</v>
      </c>
      <c r="I29" s="409">
        <v>1.136</v>
      </c>
      <c r="J29" s="409">
        <v>0.88</v>
      </c>
      <c r="K29" s="409">
        <v>1</v>
      </c>
      <c r="L29" s="409">
        <v>1</v>
      </c>
      <c r="M29" s="409">
        <v>1.01</v>
      </c>
      <c r="N29" s="409">
        <v>1.025</v>
      </c>
      <c r="O29" s="409">
        <v>1</v>
      </c>
      <c r="P29" s="409">
        <v>1</v>
      </c>
      <c r="Q29" s="409">
        <v>1</v>
      </c>
      <c r="R29" s="409">
        <v>1</v>
      </c>
      <c r="S29" s="409">
        <v>1</v>
      </c>
      <c r="T29" s="92"/>
      <c r="U29" s="92"/>
      <c r="V29" s="84"/>
      <c r="W29" s="85"/>
      <c r="X29" s="85"/>
      <c r="Y29" s="473"/>
    </row>
    <row r="30" spans="1:25" ht="15" customHeight="1" hidden="1">
      <c r="A30" s="81"/>
      <c r="B30" s="85"/>
      <c r="C30" s="89" t="s">
        <v>301</v>
      </c>
      <c r="D30" s="89"/>
      <c r="E30" s="92"/>
      <c r="F30" s="92"/>
      <c r="G30" s="92"/>
      <c r="H30" s="409">
        <v>1</v>
      </c>
      <c r="I30" s="409">
        <v>1</v>
      </c>
      <c r="J30" s="409">
        <v>1</v>
      </c>
      <c r="K30" s="409">
        <v>1.63</v>
      </c>
      <c r="L30" s="409">
        <v>0.61</v>
      </c>
      <c r="M30" s="409">
        <v>1</v>
      </c>
      <c r="N30" s="409">
        <v>1</v>
      </c>
      <c r="O30" s="409">
        <v>1.025</v>
      </c>
      <c r="P30" s="409">
        <v>1</v>
      </c>
      <c r="Q30" s="409">
        <v>1</v>
      </c>
      <c r="R30" s="409">
        <v>1</v>
      </c>
      <c r="S30" s="409">
        <v>1</v>
      </c>
      <c r="T30" s="92"/>
      <c r="U30" s="92"/>
      <c r="V30" s="84"/>
      <c r="W30" s="85"/>
      <c r="X30" s="85"/>
      <c r="Y30" s="473"/>
    </row>
    <row r="31" spans="1:25" ht="15" hidden="1">
      <c r="A31" s="81"/>
      <c r="B31" s="85"/>
      <c r="C31" s="83" t="s">
        <v>20</v>
      </c>
      <c r="D31" s="83"/>
      <c r="E31" s="90">
        <v>0.9</v>
      </c>
      <c r="F31" s="90"/>
      <c r="G31" s="90">
        <v>0.9</v>
      </c>
      <c r="H31" s="90">
        <v>1</v>
      </c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>
        <v>0.9</v>
      </c>
      <c r="V31" s="90"/>
      <c r="W31" s="91"/>
      <c r="X31" s="91"/>
      <c r="Y31" s="475"/>
    </row>
    <row r="32" spans="1:25" ht="15" hidden="1">
      <c r="A32" s="81"/>
      <c r="B32" s="85"/>
      <c r="C32" s="83" t="s">
        <v>21</v>
      </c>
      <c r="D32" s="83"/>
      <c r="E32" s="90">
        <v>-7.9</v>
      </c>
      <c r="F32" s="90"/>
      <c r="G32" s="90">
        <v>-4.3</v>
      </c>
      <c r="H32" s="90">
        <v>1</v>
      </c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>
        <v>-4.3</v>
      </c>
      <c r="V32" s="90"/>
      <c r="W32" s="91"/>
      <c r="X32" s="91"/>
      <c r="Y32" s="475"/>
    </row>
    <row r="33" spans="1:25" ht="15" hidden="1">
      <c r="A33" s="81"/>
      <c r="B33" s="85"/>
      <c r="C33" s="83" t="s">
        <v>22</v>
      </c>
      <c r="D33" s="83"/>
      <c r="E33" s="93">
        <v>0</v>
      </c>
      <c r="F33" s="93"/>
      <c r="G33" s="93">
        <v>0</v>
      </c>
      <c r="H33" s="93">
        <v>1</v>
      </c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>
        <v>0</v>
      </c>
      <c r="V33" s="94"/>
      <c r="W33" s="95"/>
      <c r="X33" s="95"/>
      <c r="Y33" s="476"/>
    </row>
    <row r="34" spans="1:25" ht="15" hidden="1">
      <c r="A34" s="81"/>
      <c r="B34" s="85"/>
      <c r="C34" s="83" t="s">
        <v>23</v>
      </c>
      <c r="D34" s="83"/>
      <c r="E34" s="96">
        <v>2.3</v>
      </c>
      <c r="F34" s="96"/>
      <c r="G34" s="96">
        <v>3.3</v>
      </c>
      <c r="H34" s="96">
        <v>1</v>
      </c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>
        <v>3.3</v>
      </c>
      <c r="V34" s="97"/>
      <c r="W34" s="98"/>
      <c r="X34" s="98"/>
      <c r="Y34" s="477"/>
    </row>
    <row r="35" spans="1:25" ht="15" hidden="1">
      <c r="A35" s="99"/>
      <c r="B35" s="100"/>
      <c r="C35" s="89" t="s">
        <v>24</v>
      </c>
      <c r="D35" s="89"/>
      <c r="E35" s="96">
        <f>+E20</f>
        <v>105.8</v>
      </c>
      <c r="F35" s="96"/>
      <c r="G35" s="96">
        <f>+G20</f>
        <v>104.9</v>
      </c>
      <c r="H35" s="410">
        <v>1</v>
      </c>
      <c r="I35" s="410">
        <v>1.06</v>
      </c>
      <c r="J35" s="410">
        <v>0.99</v>
      </c>
      <c r="K35" s="410">
        <v>1.05</v>
      </c>
      <c r="L35" s="410">
        <v>1.015</v>
      </c>
      <c r="M35" s="410">
        <v>1</v>
      </c>
      <c r="N35" s="410">
        <v>1.01</v>
      </c>
      <c r="O35" s="410">
        <v>0.9</v>
      </c>
      <c r="P35" s="410">
        <v>0.95</v>
      </c>
      <c r="Q35" s="410">
        <v>1.25</v>
      </c>
      <c r="R35" s="410">
        <v>1.03</v>
      </c>
      <c r="S35" s="410">
        <v>1.05</v>
      </c>
      <c r="T35" s="96"/>
      <c r="U35" s="96">
        <f>+U20</f>
        <v>104.9</v>
      </c>
      <c r="V35" s="97"/>
      <c r="W35" s="98"/>
      <c r="X35" s="98"/>
      <c r="Y35" s="477"/>
    </row>
    <row r="36" spans="1:25" ht="15" hidden="1">
      <c r="A36" s="99"/>
      <c r="B36" s="85"/>
      <c r="C36" s="83" t="s">
        <v>297</v>
      </c>
      <c r="D36" s="83"/>
      <c r="E36" s="93">
        <v>5</v>
      </c>
      <c r="F36" s="93"/>
      <c r="G36" s="101">
        <v>3</v>
      </c>
      <c r="H36" s="411">
        <v>1</v>
      </c>
      <c r="I36" s="410">
        <v>1.042</v>
      </c>
      <c r="J36" s="410">
        <v>1.09</v>
      </c>
      <c r="K36" s="410">
        <v>1.12</v>
      </c>
      <c r="L36" s="410">
        <v>0.96</v>
      </c>
      <c r="M36" s="410">
        <v>1.02</v>
      </c>
      <c r="N36" s="410">
        <v>1</v>
      </c>
      <c r="O36" s="410">
        <v>0.85</v>
      </c>
      <c r="P36" s="410">
        <v>0.87</v>
      </c>
      <c r="Q36" s="410">
        <v>1.35</v>
      </c>
      <c r="R36" s="410">
        <v>1</v>
      </c>
      <c r="S36" s="410">
        <v>1.045</v>
      </c>
      <c r="T36" s="101"/>
      <c r="U36" s="93">
        <v>3</v>
      </c>
      <c r="V36" s="84"/>
      <c r="W36" s="85"/>
      <c r="X36" s="85"/>
      <c r="Y36" s="473"/>
    </row>
    <row r="37" spans="1:25" ht="15" hidden="1">
      <c r="A37" s="99"/>
      <c r="B37" s="85"/>
      <c r="C37" s="83" t="s">
        <v>25</v>
      </c>
      <c r="D37" s="83"/>
      <c r="E37" s="101"/>
      <c r="F37" s="101"/>
      <c r="G37" s="101">
        <v>107.5</v>
      </c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101"/>
      <c r="U37" s="93">
        <v>107.5</v>
      </c>
      <c r="V37" s="92"/>
      <c r="W37" s="102"/>
      <c r="X37" s="102"/>
      <c r="Y37" s="478"/>
    </row>
    <row r="38" spans="1:25" ht="15" hidden="1">
      <c r="A38" s="99"/>
      <c r="B38" s="85"/>
      <c r="C38" s="83" t="s">
        <v>26</v>
      </c>
      <c r="D38" s="83"/>
      <c r="E38" s="101"/>
      <c r="F38" s="101"/>
      <c r="G38" s="92"/>
      <c r="H38" s="413">
        <v>1</v>
      </c>
      <c r="I38" s="413">
        <v>1.02</v>
      </c>
      <c r="J38" s="413">
        <v>1.27</v>
      </c>
      <c r="K38" s="413">
        <v>0.88</v>
      </c>
      <c r="L38" s="413">
        <v>0.925</v>
      </c>
      <c r="M38" s="413">
        <v>1.18</v>
      </c>
      <c r="N38" s="413">
        <v>0.9</v>
      </c>
      <c r="O38" s="413">
        <v>1</v>
      </c>
      <c r="P38" s="413">
        <v>1.15</v>
      </c>
      <c r="Q38" s="413">
        <v>1.16</v>
      </c>
      <c r="R38" s="413">
        <v>0.81</v>
      </c>
      <c r="S38" s="413">
        <v>1.39</v>
      </c>
      <c r="T38" s="92"/>
      <c r="U38" s="101"/>
      <c r="V38" s="92"/>
      <c r="W38" s="103"/>
      <c r="X38" s="103"/>
      <c r="Y38" s="479"/>
    </row>
    <row r="39" spans="1:25" ht="15" hidden="1">
      <c r="A39" s="99"/>
      <c r="B39" s="85"/>
      <c r="C39" s="83" t="s">
        <v>298</v>
      </c>
      <c r="D39" s="83"/>
      <c r="E39" s="101"/>
      <c r="F39" s="101"/>
      <c r="G39" s="92"/>
      <c r="H39" s="413">
        <v>1</v>
      </c>
      <c r="I39" s="413">
        <v>0.98</v>
      </c>
      <c r="J39" s="413">
        <v>1.08</v>
      </c>
      <c r="K39" s="413">
        <v>1.25</v>
      </c>
      <c r="L39" s="413">
        <v>0.9</v>
      </c>
      <c r="M39" s="413">
        <v>0.8</v>
      </c>
      <c r="N39" s="413">
        <v>1</v>
      </c>
      <c r="O39" s="413">
        <v>1</v>
      </c>
      <c r="P39" s="413">
        <v>1.04</v>
      </c>
      <c r="Q39" s="413">
        <v>1.25</v>
      </c>
      <c r="R39" s="413">
        <v>0.8</v>
      </c>
      <c r="S39" s="413">
        <v>1.15</v>
      </c>
      <c r="T39" s="92"/>
      <c r="U39" s="101"/>
      <c r="V39" s="92"/>
      <c r="W39" s="103"/>
      <c r="X39" s="103"/>
      <c r="Y39" s="479"/>
    </row>
    <row r="40" spans="1:25" ht="12.75" hidden="1">
      <c r="A40" s="480"/>
      <c r="B40" s="407"/>
      <c r="C40" s="407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Y40" s="481"/>
    </row>
    <row r="41" spans="1:25" ht="15" hidden="1">
      <c r="A41" s="99"/>
      <c r="B41" s="85"/>
      <c r="C41" s="83"/>
      <c r="D41" s="83"/>
      <c r="E41" s="101"/>
      <c r="F41" s="101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101"/>
      <c r="V41" s="84"/>
      <c r="W41" s="100"/>
      <c r="X41" s="100"/>
      <c r="Y41" s="482"/>
    </row>
    <row r="42" spans="1:25" ht="1.5" customHeight="1">
      <c r="A42" s="99"/>
      <c r="B42" s="85"/>
      <c r="C42" s="104"/>
      <c r="D42" s="109"/>
      <c r="E42" s="105"/>
      <c r="F42" s="105"/>
      <c r="G42" s="106"/>
      <c r="H42" s="107">
        <v>1</v>
      </c>
      <c r="I42" s="107">
        <v>1.026</v>
      </c>
      <c r="J42" s="107">
        <v>1.002</v>
      </c>
      <c r="K42" s="107">
        <v>1.026</v>
      </c>
      <c r="L42" s="107">
        <v>1.015</v>
      </c>
      <c r="M42" s="107">
        <v>1.005</v>
      </c>
      <c r="N42" s="107">
        <v>1.012</v>
      </c>
      <c r="O42" s="107">
        <v>0.987</v>
      </c>
      <c r="P42" s="107">
        <v>1.02</v>
      </c>
      <c r="Q42" s="107">
        <v>1.01</v>
      </c>
      <c r="R42" s="107">
        <v>1</v>
      </c>
      <c r="S42" s="107">
        <v>1.14</v>
      </c>
      <c r="T42" s="84"/>
      <c r="U42" s="101"/>
      <c r="V42" s="84"/>
      <c r="W42" s="100"/>
      <c r="X42" s="100"/>
      <c r="Y42" s="483"/>
    </row>
    <row r="43" spans="1:25" ht="15.75" hidden="1">
      <c r="A43" s="99"/>
      <c r="B43" s="85"/>
      <c r="C43" s="104" t="s">
        <v>276</v>
      </c>
      <c r="D43" s="109"/>
      <c r="E43" s="105"/>
      <c r="F43" s="105"/>
      <c r="G43" s="106"/>
      <c r="H43" s="107">
        <v>1</v>
      </c>
      <c r="I43" s="107">
        <v>1.006</v>
      </c>
      <c r="J43" s="107">
        <v>1</v>
      </c>
      <c r="K43" s="107">
        <v>1</v>
      </c>
      <c r="L43" s="107">
        <v>1</v>
      </c>
      <c r="M43" s="107">
        <v>1</v>
      </c>
      <c r="N43" s="107">
        <v>1</v>
      </c>
      <c r="O43" s="107">
        <v>1</v>
      </c>
      <c r="P43" s="107">
        <v>1</v>
      </c>
      <c r="Q43" s="107">
        <v>1</v>
      </c>
      <c r="R43" s="107">
        <v>1</v>
      </c>
      <c r="S43" s="107">
        <v>1</v>
      </c>
      <c r="T43" s="84"/>
      <c r="U43" s="101"/>
      <c r="V43" s="84"/>
      <c r="W43" s="100"/>
      <c r="X43" s="100"/>
      <c r="Y43" s="482"/>
    </row>
    <row r="44" spans="1:25" ht="15.75" hidden="1">
      <c r="A44" s="99"/>
      <c r="B44" s="85"/>
      <c r="C44" s="104" t="s">
        <v>277</v>
      </c>
      <c r="D44" s="109"/>
      <c r="E44" s="105"/>
      <c r="F44" s="105"/>
      <c r="G44" s="106"/>
      <c r="H44" s="107">
        <v>1</v>
      </c>
      <c r="I44" s="107">
        <v>1</v>
      </c>
      <c r="J44" s="107">
        <v>1</v>
      </c>
      <c r="K44" s="107">
        <v>1</v>
      </c>
      <c r="L44" s="107">
        <v>1</v>
      </c>
      <c r="M44" s="107">
        <v>1</v>
      </c>
      <c r="N44" s="107">
        <v>1</v>
      </c>
      <c r="O44" s="107">
        <v>1.0313</v>
      </c>
      <c r="P44" s="107">
        <v>1</v>
      </c>
      <c r="Q44" s="107">
        <v>1</v>
      </c>
      <c r="R44" s="107">
        <v>1</v>
      </c>
      <c r="S44" s="107">
        <v>1</v>
      </c>
      <c r="T44" s="84"/>
      <c r="U44" s="101"/>
      <c r="V44" s="84"/>
      <c r="W44" s="100"/>
      <c r="X44" s="100"/>
      <c r="Y44" s="482"/>
    </row>
    <row r="45" spans="1:25" ht="15.75" hidden="1">
      <c r="A45" s="99"/>
      <c r="B45" s="85"/>
      <c r="C45" s="104" t="s">
        <v>278</v>
      </c>
      <c r="D45" s="109"/>
      <c r="E45" s="105"/>
      <c r="F45" s="105"/>
      <c r="G45" s="106"/>
      <c r="H45" s="107">
        <v>1.008</v>
      </c>
      <c r="I45" s="107">
        <v>1.005</v>
      </c>
      <c r="J45" s="107">
        <v>1.006</v>
      </c>
      <c r="K45" s="107">
        <v>1.004</v>
      </c>
      <c r="L45" s="107">
        <v>1.003</v>
      </c>
      <c r="M45" s="107">
        <v>1.003</v>
      </c>
      <c r="N45" s="107">
        <v>1.002</v>
      </c>
      <c r="O45" s="107">
        <v>0.99</v>
      </c>
      <c r="P45" s="107">
        <v>1.003</v>
      </c>
      <c r="Q45" s="107">
        <v>1.003</v>
      </c>
      <c r="R45" s="107">
        <v>1.004</v>
      </c>
      <c r="S45" s="107">
        <v>1.004</v>
      </c>
      <c r="T45" s="108"/>
      <c r="U45" s="101"/>
      <c r="V45" s="84"/>
      <c r="W45" s="100"/>
      <c r="X45" s="100"/>
      <c r="Y45" s="482"/>
    </row>
    <row r="46" spans="1:25" ht="15.75" hidden="1">
      <c r="A46" s="99"/>
      <c r="B46" s="85"/>
      <c r="C46" s="104" t="s">
        <v>279</v>
      </c>
      <c r="D46" s="109"/>
      <c r="E46" s="105"/>
      <c r="F46" s="105"/>
      <c r="G46" s="106"/>
      <c r="H46" s="107">
        <v>1</v>
      </c>
      <c r="I46" s="107">
        <v>1.1</v>
      </c>
      <c r="J46" s="107">
        <v>1.05</v>
      </c>
      <c r="K46" s="107">
        <v>1.26</v>
      </c>
      <c r="L46" s="107">
        <v>0.85</v>
      </c>
      <c r="M46" s="107">
        <v>1.07</v>
      </c>
      <c r="N46" s="107">
        <v>1</v>
      </c>
      <c r="O46" s="107">
        <v>0.82</v>
      </c>
      <c r="P46" s="107">
        <v>1.24</v>
      </c>
      <c r="Q46" s="107">
        <v>1.183</v>
      </c>
      <c r="R46" s="107">
        <v>0.82</v>
      </c>
      <c r="S46" s="107">
        <v>1.45</v>
      </c>
      <c r="T46" s="84"/>
      <c r="U46" s="101"/>
      <c r="V46" s="84"/>
      <c r="W46" s="100"/>
      <c r="X46" s="100"/>
      <c r="Y46" s="482"/>
    </row>
    <row r="47" spans="1:25" ht="15.75" hidden="1">
      <c r="A47" s="99"/>
      <c r="B47" s="85"/>
      <c r="C47" s="104" t="s">
        <v>280</v>
      </c>
      <c r="D47" s="109"/>
      <c r="E47" s="105"/>
      <c r="F47" s="105"/>
      <c r="G47" s="106"/>
      <c r="H47" s="107">
        <v>1</v>
      </c>
      <c r="I47" s="107">
        <v>1</v>
      </c>
      <c r="J47" s="107">
        <v>1.08</v>
      </c>
      <c r="K47" s="107">
        <v>1.25</v>
      </c>
      <c r="L47" s="107">
        <v>0.9</v>
      </c>
      <c r="M47" s="107">
        <v>0.8</v>
      </c>
      <c r="N47" s="107">
        <v>1</v>
      </c>
      <c r="O47" s="107">
        <v>1</v>
      </c>
      <c r="P47" s="107">
        <v>1.038</v>
      </c>
      <c r="Q47" s="107">
        <v>1.25</v>
      </c>
      <c r="R47" s="107">
        <v>0.8</v>
      </c>
      <c r="S47" s="107">
        <v>1.15</v>
      </c>
      <c r="T47" s="84"/>
      <c r="U47" s="101"/>
      <c r="V47" s="84"/>
      <c r="W47" s="100"/>
      <c r="X47" s="100"/>
      <c r="Y47" s="482"/>
    </row>
    <row r="48" spans="1:25" ht="15.75" hidden="1">
      <c r="A48" s="99"/>
      <c r="B48" s="85"/>
      <c r="C48" s="104" t="s">
        <v>281</v>
      </c>
      <c r="D48" s="109"/>
      <c r="E48" s="105"/>
      <c r="F48" s="105"/>
      <c r="G48" s="106"/>
      <c r="H48" s="107">
        <v>1</v>
      </c>
      <c r="I48" s="107">
        <v>1.057</v>
      </c>
      <c r="J48" s="107">
        <v>0.99</v>
      </c>
      <c r="K48" s="107">
        <v>1.15</v>
      </c>
      <c r="L48" s="107">
        <v>0.9</v>
      </c>
      <c r="M48" s="107">
        <v>1.02</v>
      </c>
      <c r="N48" s="107">
        <v>1.02</v>
      </c>
      <c r="O48" s="107">
        <v>0.8</v>
      </c>
      <c r="P48" s="107">
        <v>0.939</v>
      </c>
      <c r="Q48" s="107">
        <v>1.23</v>
      </c>
      <c r="R48" s="107">
        <v>0.98</v>
      </c>
      <c r="S48" s="107">
        <v>1.035</v>
      </c>
      <c r="T48" s="84"/>
      <c r="U48" s="101"/>
      <c r="V48" s="84"/>
      <c r="W48" s="100"/>
      <c r="X48" s="100"/>
      <c r="Y48" s="482"/>
    </row>
    <row r="49" spans="1:25" ht="15.75" hidden="1">
      <c r="A49" s="99"/>
      <c r="B49" s="85"/>
      <c r="C49" s="109" t="s">
        <v>282</v>
      </c>
      <c r="D49" s="109"/>
      <c r="E49" s="105"/>
      <c r="F49" s="105"/>
      <c r="G49" s="106"/>
      <c r="H49" s="107">
        <v>1</v>
      </c>
      <c r="I49" s="107">
        <v>1.04</v>
      </c>
      <c r="J49" s="107">
        <v>1.1</v>
      </c>
      <c r="K49" s="107">
        <v>1.09</v>
      </c>
      <c r="L49" s="107">
        <v>1</v>
      </c>
      <c r="M49" s="107">
        <v>1.02</v>
      </c>
      <c r="N49" s="107">
        <v>1</v>
      </c>
      <c r="O49" s="107">
        <v>0.89</v>
      </c>
      <c r="P49" s="107">
        <v>0.9</v>
      </c>
      <c r="Q49" s="107">
        <v>1.16</v>
      </c>
      <c r="R49" s="107">
        <v>1.05</v>
      </c>
      <c r="S49" s="107">
        <v>1.03</v>
      </c>
      <c r="T49" s="84"/>
      <c r="U49" s="101"/>
      <c r="V49" s="84"/>
      <c r="W49" s="100"/>
      <c r="X49" s="100"/>
      <c r="Y49" s="482"/>
    </row>
    <row r="50" spans="1:25" ht="23.25" customHeight="1">
      <c r="A50" s="110" t="s">
        <v>0</v>
      </c>
      <c r="B50" s="111" t="s">
        <v>27</v>
      </c>
      <c r="C50" s="112" t="s">
        <v>28</v>
      </c>
      <c r="D50" s="113">
        <f aca="true" t="shared" si="0" ref="D50:U50">D53+D119+D132+D135</f>
        <v>367798719</v>
      </c>
      <c r="E50" s="113">
        <f t="shared" si="0"/>
        <v>367525314</v>
      </c>
      <c r="F50" s="113">
        <f>+E50-D50</f>
        <v>-273405</v>
      </c>
      <c r="G50" s="113">
        <f t="shared" si="0"/>
        <v>396109184.07215625</v>
      </c>
      <c r="H50" s="113">
        <f t="shared" si="0"/>
        <v>30955552</v>
      </c>
      <c r="I50" s="113">
        <f t="shared" si="0"/>
        <v>31003300</v>
      </c>
      <c r="J50" s="113">
        <f t="shared" si="0"/>
        <v>31767198</v>
      </c>
      <c r="K50" s="113">
        <f t="shared" si="0"/>
        <v>33474303</v>
      </c>
      <c r="L50" s="113">
        <f t="shared" si="0"/>
        <v>32339823.16</v>
      </c>
      <c r="M50" s="113">
        <f t="shared" si="0"/>
        <v>32689207.06352</v>
      </c>
      <c r="N50" s="113">
        <f t="shared" si="0"/>
        <v>33052803.75901344</v>
      </c>
      <c r="O50" s="113">
        <f t="shared" si="0"/>
        <v>32551691.43586533</v>
      </c>
      <c r="P50" s="113">
        <f t="shared" si="0"/>
        <v>33243648.721766893</v>
      </c>
      <c r="Q50" s="113">
        <f t="shared" si="0"/>
        <v>33277862.595379326</v>
      </c>
      <c r="R50" s="113">
        <f t="shared" si="0"/>
        <v>33339930.686570086</v>
      </c>
      <c r="S50" s="113">
        <f t="shared" si="0"/>
        <v>37194808.47109982</v>
      </c>
      <c r="T50" s="113">
        <f t="shared" si="0"/>
        <v>394890128.89321494</v>
      </c>
      <c r="U50" s="113">
        <f t="shared" si="0"/>
        <v>396109184.117086</v>
      </c>
      <c r="V50" s="114">
        <f>+U50/E50*100</f>
        <v>107.7773881221923</v>
      </c>
      <c r="W50" s="115">
        <f>+V50/W$17*100-100</f>
        <v>2.742982003996474</v>
      </c>
      <c r="X50" s="115">
        <f>+U50/E50*100</f>
        <v>107.7773881221923</v>
      </c>
      <c r="Y50" s="484">
        <f>+U50-G50</f>
        <v>0.04492974281311035</v>
      </c>
    </row>
    <row r="51" spans="1:25" ht="15.75" hidden="1">
      <c r="A51" s="116"/>
      <c r="B51" s="117"/>
      <c r="C51" s="118" t="s">
        <v>29</v>
      </c>
      <c r="D51" s="118"/>
      <c r="E51" s="119">
        <v>6.45086820072666</v>
      </c>
      <c r="F51" s="119">
        <f aca="true" t="shared" si="1" ref="F51:F114">+E51-D51</f>
        <v>6.45086820072666</v>
      </c>
      <c r="G51" s="119">
        <v>6.402488913043193</v>
      </c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>
        <v>6.410181032473751</v>
      </c>
      <c r="V51" s="120"/>
      <c r="W51" s="121"/>
      <c r="X51" s="121"/>
      <c r="Y51" s="485"/>
    </row>
    <row r="52" spans="1:25" ht="15">
      <c r="A52" s="122"/>
      <c r="B52" s="123"/>
      <c r="C52" s="124"/>
      <c r="D52" s="124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>
        <f aca="true" t="shared" si="2" ref="T52:T114">SUM(H52:S52)</f>
        <v>0</v>
      </c>
      <c r="U52" s="125"/>
      <c r="V52" s="125"/>
      <c r="W52" s="126"/>
      <c r="X52" s="126"/>
      <c r="Y52" s="486"/>
    </row>
    <row r="53" spans="1:25" ht="15.75">
      <c r="A53" s="122"/>
      <c r="B53" s="123" t="s">
        <v>30</v>
      </c>
      <c r="C53" s="127" t="s">
        <v>31</v>
      </c>
      <c r="D53" s="128">
        <f aca="true" t="shared" si="3" ref="D53:U53">D56+D97</f>
        <v>298283129</v>
      </c>
      <c r="E53" s="128">
        <f t="shared" si="3"/>
        <v>298286130</v>
      </c>
      <c r="F53" s="128">
        <f t="shared" si="1"/>
        <v>3001</v>
      </c>
      <c r="G53" s="128">
        <f t="shared" si="3"/>
        <v>320664287.8101643</v>
      </c>
      <c r="H53" s="128">
        <f t="shared" si="3"/>
        <v>25043183</v>
      </c>
      <c r="I53" s="128">
        <f t="shared" si="3"/>
        <v>24980324</v>
      </c>
      <c r="J53" s="128">
        <f t="shared" si="3"/>
        <v>25636936</v>
      </c>
      <c r="K53" s="128">
        <f t="shared" si="3"/>
        <v>26948761</v>
      </c>
      <c r="L53" s="128">
        <f t="shared" si="3"/>
        <v>26213206.75</v>
      </c>
      <c r="M53" s="128">
        <f t="shared" si="3"/>
        <v>26552171.6972</v>
      </c>
      <c r="N53" s="128">
        <f t="shared" si="3"/>
        <v>26905328.5984608</v>
      </c>
      <c r="O53" s="128">
        <f t="shared" si="3"/>
        <v>26393755.601491585</v>
      </c>
      <c r="P53" s="128">
        <f t="shared" si="3"/>
        <v>27075231.2922244</v>
      </c>
      <c r="Q53" s="128">
        <f t="shared" si="3"/>
        <v>27098942.607477747</v>
      </c>
      <c r="R53" s="128">
        <f t="shared" si="3"/>
        <v>27150487.135192703</v>
      </c>
      <c r="S53" s="128">
        <f t="shared" si="3"/>
        <v>30994820.309119683</v>
      </c>
      <c r="T53" s="128">
        <f t="shared" si="3"/>
        <v>320993147.99116695</v>
      </c>
      <c r="U53" s="128">
        <f t="shared" si="3"/>
        <v>320685468.88673997</v>
      </c>
      <c r="V53" s="129">
        <f>+U53/E53*100</f>
        <v>107.50934644086199</v>
      </c>
      <c r="W53" s="130">
        <f>+V53/W$17*100-100</f>
        <v>2.487460858781688</v>
      </c>
      <c r="X53" s="129">
        <f aca="true" t="shared" si="4" ref="X53:X110">+U53/E53*100</f>
        <v>107.50934644086199</v>
      </c>
      <c r="Y53" s="487">
        <f>+U53-G53</f>
        <v>21181.07657569647</v>
      </c>
    </row>
    <row r="54" spans="1:25" ht="15.75" hidden="1">
      <c r="A54" s="116"/>
      <c r="B54" s="117"/>
      <c r="C54" s="118" t="s">
        <v>32</v>
      </c>
      <c r="D54" s="11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>
        <f t="shared" si="2"/>
        <v>0</v>
      </c>
      <c r="U54" s="119"/>
      <c r="V54" s="120"/>
      <c r="W54" s="121"/>
      <c r="X54" s="121"/>
      <c r="Y54" s="485"/>
    </row>
    <row r="55" spans="1:25" ht="15">
      <c r="A55" s="122"/>
      <c r="B55" s="123"/>
      <c r="C55" s="124"/>
      <c r="D55" s="124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6"/>
      <c r="X55" s="126"/>
      <c r="Y55" s="486"/>
    </row>
    <row r="56" spans="1:25" ht="15.75">
      <c r="A56" s="131">
        <v>70</v>
      </c>
      <c r="B56" s="132"/>
      <c r="C56" s="127" t="s">
        <v>33</v>
      </c>
      <c r="D56" s="128">
        <f aca="true" t="shared" si="5" ref="D56:U56">+D60</f>
        <v>293501423</v>
      </c>
      <c r="E56" s="128">
        <f t="shared" si="5"/>
        <v>293804584</v>
      </c>
      <c r="F56" s="128">
        <f t="shared" si="1"/>
        <v>303161</v>
      </c>
      <c r="G56" s="128">
        <f t="shared" si="5"/>
        <v>315800195.3642893</v>
      </c>
      <c r="H56" s="128">
        <f t="shared" si="5"/>
        <v>24880999</v>
      </c>
      <c r="I56" s="128">
        <f t="shared" si="5"/>
        <v>24808448</v>
      </c>
      <c r="J56" s="128">
        <f t="shared" si="5"/>
        <v>25368014</v>
      </c>
      <c r="K56" s="128">
        <f t="shared" si="5"/>
        <v>25689736</v>
      </c>
      <c r="L56" s="128">
        <f t="shared" si="5"/>
        <v>25689736</v>
      </c>
      <c r="M56" s="128">
        <f t="shared" si="5"/>
        <v>25998700.9472</v>
      </c>
      <c r="N56" s="128">
        <f t="shared" si="5"/>
        <v>26351857.8484608</v>
      </c>
      <c r="O56" s="128">
        <f t="shared" si="5"/>
        <v>25840284.851491585</v>
      </c>
      <c r="P56" s="128">
        <f t="shared" si="5"/>
        <v>26391760.5422244</v>
      </c>
      <c r="Q56" s="128">
        <f t="shared" si="5"/>
        <v>26545471.857477747</v>
      </c>
      <c r="R56" s="128">
        <f t="shared" si="5"/>
        <v>26597016.385192703</v>
      </c>
      <c r="S56" s="128">
        <f t="shared" si="5"/>
        <v>30212349.559119683</v>
      </c>
      <c r="T56" s="128">
        <f t="shared" si="5"/>
        <v>314374374.99116695</v>
      </c>
      <c r="U56" s="128">
        <f t="shared" si="5"/>
        <v>315801296.76673996</v>
      </c>
      <c r="V56" s="129">
        <f>+U56/E56*100</f>
        <v>107.48685145318902</v>
      </c>
      <c r="W56" s="130">
        <f>+V56/W$17*100-100</f>
        <v>2.466016637930423</v>
      </c>
      <c r="X56" s="129">
        <f t="shared" si="4"/>
        <v>107.48685145318902</v>
      </c>
      <c r="Y56" s="487">
        <f>+U56-G56</f>
        <v>1101.4024506807327</v>
      </c>
    </row>
    <row r="57" spans="1:25" ht="15.75" hidden="1">
      <c r="A57" s="133"/>
      <c r="B57" s="134"/>
      <c r="C57" s="118" t="s">
        <v>29</v>
      </c>
      <c r="D57" s="118"/>
      <c r="E57" s="119"/>
      <c r="F57" s="119"/>
      <c r="G57" s="135">
        <v>5.10441901086651</v>
      </c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>
        <f t="shared" si="2"/>
        <v>0</v>
      </c>
      <c r="U57" s="135">
        <v>5.110094018987844</v>
      </c>
      <c r="V57" s="120"/>
      <c r="W57" s="121"/>
      <c r="X57" s="121"/>
      <c r="Y57" s="488"/>
    </row>
    <row r="58" spans="1:25" ht="15.75">
      <c r="A58" s="136"/>
      <c r="B58" s="137"/>
      <c r="C58" s="138"/>
      <c r="D58" s="460"/>
      <c r="E58" s="139"/>
      <c r="F58" s="139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1"/>
      <c r="V58" s="142"/>
      <c r="W58" s="143"/>
      <c r="X58" s="143"/>
      <c r="Y58" s="489"/>
    </row>
    <row r="59" spans="1:25" ht="16.5" customHeight="1" hidden="1">
      <c r="A59" s="122"/>
      <c r="B59" s="123"/>
      <c r="C59" s="124"/>
      <c r="D59" s="124"/>
      <c r="E59" s="125"/>
      <c r="F59" s="125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25"/>
      <c r="W59" s="126"/>
      <c r="X59" s="126"/>
      <c r="Y59" s="490"/>
    </row>
    <row r="60" spans="1:25" ht="15.75">
      <c r="A60" s="131">
        <v>701</v>
      </c>
      <c r="B60" s="132"/>
      <c r="C60" s="127" t="s">
        <v>34</v>
      </c>
      <c r="D60" s="128">
        <f aca="true" t="shared" si="6" ref="D60:U60">D63+D69+D75+D86</f>
        <v>293501423</v>
      </c>
      <c r="E60" s="128">
        <f t="shared" si="6"/>
        <v>293804584</v>
      </c>
      <c r="F60" s="128">
        <f t="shared" si="1"/>
        <v>303161</v>
      </c>
      <c r="G60" s="128">
        <f>G63+G69+G75+G86</f>
        <v>315800195.3642893</v>
      </c>
      <c r="H60" s="128">
        <f t="shared" si="6"/>
        <v>24880999</v>
      </c>
      <c r="I60" s="128">
        <f t="shared" si="6"/>
        <v>24808448</v>
      </c>
      <c r="J60" s="128">
        <f t="shared" si="6"/>
        <v>25368014</v>
      </c>
      <c r="K60" s="128">
        <f t="shared" si="6"/>
        <v>25689736</v>
      </c>
      <c r="L60" s="128">
        <f t="shared" si="6"/>
        <v>25689736</v>
      </c>
      <c r="M60" s="128">
        <f t="shared" si="6"/>
        <v>25998700.9472</v>
      </c>
      <c r="N60" s="128">
        <f t="shared" si="6"/>
        <v>26351857.8484608</v>
      </c>
      <c r="O60" s="128">
        <f t="shared" si="6"/>
        <v>25840284.851491585</v>
      </c>
      <c r="P60" s="128">
        <f t="shared" si="6"/>
        <v>26391760.5422244</v>
      </c>
      <c r="Q60" s="128">
        <f t="shared" si="6"/>
        <v>26545471.857477747</v>
      </c>
      <c r="R60" s="128">
        <f t="shared" si="6"/>
        <v>26597016.385192703</v>
      </c>
      <c r="S60" s="128">
        <f t="shared" si="6"/>
        <v>30212349.559119683</v>
      </c>
      <c r="T60" s="128">
        <f t="shared" si="6"/>
        <v>314374374.99116695</v>
      </c>
      <c r="U60" s="128">
        <f t="shared" si="6"/>
        <v>315801296.76673996</v>
      </c>
      <c r="V60" s="129">
        <f>+U60/E60*100</f>
        <v>107.48685145318902</v>
      </c>
      <c r="W60" s="130">
        <f>+V60/W$17*100-100</f>
        <v>2.466016637930423</v>
      </c>
      <c r="X60" s="129">
        <f t="shared" si="4"/>
        <v>107.48685145318902</v>
      </c>
      <c r="Y60" s="487">
        <f>+U60-G60</f>
        <v>1101.4024506807327</v>
      </c>
    </row>
    <row r="61" spans="1:25" ht="15.75" hidden="1">
      <c r="A61" s="133"/>
      <c r="B61" s="134"/>
      <c r="C61" s="118" t="s">
        <v>29</v>
      </c>
      <c r="D61" s="11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>
        <f t="shared" si="2"/>
        <v>0</v>
      </c>
      <c r="U61" s="119"/>
      <c r="V61" s="120"/>
      <c r="W61" s="121"/>
      <c r="X61" s="121"/>
      <c r="Y61" s="485"/>
    </row>
    <row r="62" spans="1:25" ht="15.75">
      <c r="A62" s="145"/>
      <c r="B62" s="146"/>
      <c r="C62" s="147"/>
      <c r="D62" s="147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9"/>
      <c r="W62" s="150"/>
      <c r="X62" s="150"/>
      <c r="Y62" s="491"/>
    </row>
    <row r="63" spans="1:25" ht="15.75">
      <c r="A63" s="131">
        <v>7010</v>
      </c>
      <c r="B63" s="132"/>
      <c r="C63" s="127" t="s">
        <v>35</v>
      </c>
      <c r="D63" s="128">
        <f aca="true" t="shared" si="7" ref="D63:U63">D65+D66+D67</f>
        <v>128688771</v>
      </c>
      <c r="E63" s="128">
        <f t="shared" si="7"/>
        <v>129289508</v>
      </c>
      <c r="F63" s="128">
        <f t="shared" si="1"/>
        <v>600737</v>
      </c>
      <c r="G63" s="128">
        <f>G65+G66+G67</f>
        <v>138528732.00823325</v>
      </c>
      <c r="H63" s="128">
        <f t="shared" si="7"/>
        <v>10988800</v>
      </c>
      <c r="I63" s="128">
        <f t="shared" si="7"/>
        <v>10895621</v>
      </c>
      <c r="J63" s="128">
        <f t="shared" si="7"/>
        <v>11090667</v>
      </c>
      <c r="K63" s="128">
        <f t="shared" si="7"/>
        <v>11239343</v>
      </c>
      <c r="L63" s="128">
        <f t="shared" si="7"/>
        <v>11239343</v>
      </c>
      <c r="M63" s="128">
        <f t="shared" si="7"/>
        <v>11378665.779199999</v>
      </c>
      <c r="N63" s="128">
        <f t="shared" si="7"/>
        <v>11537916.2101088</v>
      </c>
      <c r="O63" s="128">
        <f t="shared" si="7"/>
        <v>11307230.585906623</v>
      </c>
      <c r="P63" s="128">
        <f t="shared" si="7"/>
        <v>11555909.68879657</v>
      </c>
      <c r="Q63" s="128">
        <f t="shared" si="7"/>
        <v>11625223.336929351</v>
      </c>
      <c r="R63" s="128">
        <f t="shared" si="7"/>
        <v>11648466.513603209</v>
      </c>
      <c r="S63" s="128">
        <f t="shared" si="7"/>
        <v>13278742.925507657</v>
      </c>
      <c r="T63" s="128">
        <f t="shared" si="7"/>
        <v>137785929.0400522</v>
      </c>
      <c r="U63" s="128">
        <f t="shared" si="7"/>
        <v>139177622.704</v>
      </c>
      <c r="V63" s="129">
        <f>+U63/E63*100</f>
        <v>107.64804109549245</v>
      </c>
      <c r="W63" s="130">
        <f>+V63/W$17*100-100</f>
        <v>2.6196769261129162</v>
      </c>
      <c r="X63" s="129">
        <f t="shared" si="4"/>
        <v>107.64804109549245</v>
      </c>
      <c r="Y63" s="487">
        <f>+U63-G63</f>
        <v>648890.695766747</v>
      </c>
    </row>
    <row r="64" spans="1:25" ht="15.75" hidden="1">
      <c r="A64" s="133"/>
      <c r="B64" s="134"/>
      <c r="C64" s="118" t="s">
        <v>29</v>
      </c>
      <c r="D64" s="528"/>
      <c r="E64" s="119">
        <v>2.2693119196812526</v>
      </c>
      <c r="F64" s="119">
        <f t="shared" si="1"/>
        <v>2.2693119196812526</v>
      </c>
      <c r="G64" s="119">
        <v>2.2391015065661284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>
        <f t="shared" si="2"/>
        <v>0</v>
      </c>
      <c r="U64" s="119">
        <v>2.2495898154781147</v>
      </c>
      <c r="V64" s="120"/>
      <c r="W64" s="121"/>
      <c r="X64" s="121"/>
      <c r="Y64" s="485"/>
    </row>
    <row r="65" spans="1:25" ht="15">
      <c r="A65" s="122">
        <v>701006</v>
      </c>
      <c r="B65" s="123"/>
      <c r="C65" s="124" t="s">
        <v>36</v>
      </c>
      <c r="D65" s="189">
        <v>121696873</v>
      </c>
      <c r="E65" s="125">
        <v>121986756</v>
      </c>
      <c r="F65" s="125">
        <f t="shared" si="1"/>
        <v>289883</v>
      </c>
      <c r="G65" s="151">
        <v>130978639.30803135</v>
      </c>
      <c r="H65" s="151">
        <v>10440867</v>
      </c>
      <c r="I65" s="151">
        <v>10293262</v>
      </c>
      <c r="J65" s="151">
        <v>10464232</v>
      </c>
      <c r="K65" s="151">
        <v>10663411</v>
      </c>
      <c r="L65" s="151">
        <f>K65*L23</f>
        <v>10663411</v>
      </c>
      <c r="M65" s="151">
        <f aca="true" t="shared" si="8" ref="M65:S65">L65*M23</f>
        <v>10795637.2964</v>
      </c>
      <c r="N65" s="151">
        <f t="shared" si="8"/>
        <v>10946776.2185496</v>
      </c>
      <c r="O65" s="151">
        <f t="shared" si="8"/>
        <v>10727840.694178607</v>
      </c>
      <c r="P65" s="151">
        <f t="shared" si="8"/>
        <v>10963853.189450538</v>
      </c>
      <c r="Q65" s="151">
        <f t="shared" si="8"/>
        <v>11029636.308587242</v>
      </c>
      <c r="R65" s="151">
        <f t="shared" si="8"/>
        <v>11051695.581204416</v>
      </c>
      <c r="S65" s="151">
        <f t="shared" si="8"/>
        <v>12598932.962573033</v>
      </c>
      <c r="T65" s="151">
        <f t="shared" si="2"/>
        <v>130639555.25094342</v>
      </c>
      <c r="U65" s="151">
        <v>131291712.48</v>
      </c>
      <c r="V65" s="129">
        <f>+U65/E65*100</f>
        <v>107.62784156666976</v>
      </c>
      <c r="W65" s="130">
        <f>+V65/W$17*100-100</f>
        <v>2.600420940581259</v>
      </c>
      <c r="X65" s="129">
        <f t="shared" si="4"/>
        <v>107.62784156666976</v>
      </c>
      <c r="Y65" s="492">
        <f>+U65-G65</f>
        <v>313073.1719686538</v>
      </c>
    </row>
    <row r="66" spans="1:25" ht="15">
      <c r="A66" s="122">
        <v>701007</v>
      </c>
      <c r="B66" s="137"/>
      <c r="C66" s="124" t="s">
        <v>37</v>
      </c>
      <c r="D66" s="189">
        <v>6954562</v>
      </c>
      <c r="E66" s="125">
        <v>7268496</v>
      </c>
      <c r="F66" s="125">
        <f t="shared" si="1"/>
        <v>313934</v>
      </c>
      <c r="G66" s="125">
        <v>7510926.968285197</v>
      </c>
      <c r="H66" s="125">
        <v>543945</v>
      </c>
      <c r="I66" s="125">
        <v>600509</v>
      </c>
      <c r="J66" s="125">
        <v>623147</v>
      </c>
      <c r="K66" s="125">
        <v>572297</v>
      </c>
      <c r="L66" s="125">
        <f>K66*L23</f>
        <v>572297</v>
      </c>
      <c r="M66" s="125">
        <f aca="true" t="shared" si="9" ref="M66:S66">L66*M23</f>
        <v>579393.4828</v>
      </c>
      <c r="N66" s="125">
        <f t="shared" si="9"/>
        <v>587504.9915592</v>
      </c>
      <c r="O66" s="125">
        <f t="shared" si="9"/>
        <v>575754.891728016</v>
      </c>
      <c r="P66" s="125">
        <f t="shared" si="9"/>
        <v>588421.4993460323</v>
      </c>
      <c r="Q66" s="125">
        <f t="shared" si="9"/>
        <v>591952.0283421085</v>
      </c>
      <c r="R66" s="125">
        <f t="shared" si="9"/>
        <v>593135.9323987927</v>
      </c>
      <c r="S66" s="125">
        <f t="shared" si="9"/>
        <v>676174.9629346236</v>
      </c>
      <c r="T66" s="125">
        <f t="shared" si="2"/>
        <v>7104532.789108772</v>
      </c>
      <c r="U66" s="125">
        <v>7849975.68</v>
      </c>
      <c r="V66" s="129">
        <f>+U66/E66*100</f>
        <v>107.99999999999999</v>
      </c>
      <c r="W66" s="130">
        <f>+V66/W$17*100-100</f>
        <v>2.955195424213514</v>
      </c>
      <c r="X66" s="129">
        <f t="shared" si="4"/>
        <v>107.99999999999999</v>
      </c>
      <c r="Y66" s="486">
        <f>+U66-G66</f>
        <v>339048.7117148023</v>
      </c>
    </row>
    <row r="67" spans="1:25" ht="15">
      <c r="A67" s="122">
        <v>701008</v>
      </c>
      <c r="B67" s="123"/>
      <c r="C67" s="124" t="s">
        <v>38</v>
      </c>
      <c r="D67" s="189">
        <v>37336</v>
      </c>
      <c r="E67" s="125">
        <v>34256</v>
      </c>
      <c r="F67" s="125">
        <f t="shared" si="1"/>
        <v>-3080</v>
      </c>
      <c r="G67" s="125">
        <v>39165.731916698</v>
      </c>
      <c r="H67" s="125">
        <v>3988</v>
      </c>
      <c r="I67" s="125">
        <v>1850</v>
      </c>
      <c r="J67" s="125">
        <v>3288</v>
      </c>
      <c r="K67" s="125">
        <v>3635</v>
      </c>
      <c r="L67" s="125">
        <f aca="true" t="shared" si="10" ref="L67:S67">+K67</f>
        <v>3635</v>
      </c>
      <c r="M67" s="125">
        <f t="shared" si="10"/>
        <v>3635</v>
      </c>
      <c r="N67" s="125">
        <f t="shared" si="10"/>
        <v>3635</v>
      </c>
      <c r="O67" s="125">
        <f t="shared" si="10"/>
        <v>3635</v>
      </c>
      <c r="P67" s="125">
        <f t="shared" si="10"/>
        <v>3635</v>
      </c>
      <c r="Q67" s="125">
        <f t="shared" si="10"/>
        <v>3635</v>
      </c>
      <c r="R67" s="125">
        <f t="shared" si="10"/>
        <v>3635</v>
      </c>
      <c r="S67" s="125">
        <f t="shared" si="10"/>
        <v>3635</v>
      </c>
      <c r="T67" s="125">
        <f t="shared" si="2"/>
        <v>41841</v>
      </c>
      <c r="U67" s="125">
        <v>35934.544</v>
      </c>
      <c r="V67" s="129">
        <f>+U67/E67*100</f>
        <v>104.90000000000002</v>
      </c>
      <c r="W67" s="130">
        <f>+V67/W$17*100-100</f>
        <v>0</v>
      </c>
      <c r="X67" s="129">
        <f t="shared" si="4"/>
        <v>104.90000000000002</v>
      </c>
      <c r="Y67" s="486">
        <f>+U67-G67</f>
        <v>-3231.1879166979998</v>
      </c>
    </row>
    <row r="68" spans="1:25" ht="15">
      <c r="A68" s="136"/>
      <c r="B68" s="137"/>
      <c r="C68" s="152"/>
      <c r="D68" s="142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43"/>
      <c r="X68" s="143"/>
      <c r="Y68" s="493"/>
    </row>
    <row r="69" spans="1:25" ht="15.75">
      <c r="A69" s="131">
        <v>7011</v>
      </c>
      <c r="B69" s="132"/>
      <c r="C69" s="127" t="s">
        <v>39</v>
      </c>
      <c r="D69" s="128">
        <f aca="true" t="shared" si="11" ref="D69:U69">+D71+D72+D73</f>
        <v>142391602</v>
      </c>
      <c r="E69" s="128">
        <f t="shared" si="11"/>
        <v>142798661</v>
      </c>
      <c r="F69" s="128">
        <f t="shared" si="1"/>
        <v>407059</v>
      </c>
      <c r="G69" s="128">
        <f>+G71+G72+G73</f>
        <v>153276913.92067996</v>
      </c>
      <c r="H69" s="128">
        <f t="shared" si="11"/>
        <v>12238212</v>
      </c>
      <c r="I69" s="128">
        <f t="shared" si="11"/>
        <v>12108241</v>
      </c>
      <c r="J69" s="128">
        <f t="shared" si="11"/>
        <v>12285404</v>
      </c>
      <c r="K69" s="128">
        <f t="shared" si="11"/>
        <v>12570674</v>
      </c>
      <c r="L69" s="128">
        <f t="shared" si="11"/>
        <v>12570674</v>
      </c>
      <c r="M69" s="128">
        <f t="shared" si="11"/>
        <v>12726550.3576</v>
      </c>
      <c r="N69" s="128">
        <f t="shared" si="11"/>
        <v>12904722.0626064</v>
      </c>
      <c r="O69" s="128">
        <f t="shared" si="11"/>
        <v>12646627.621354273</v>
      </c>
      <c r="P69" s="128">
        <f t="shared" si="11"/>
        <v>12924853.429024065</v>
      </c>
      <c r="Q69" s="128">
        <f t="shared" si="11"/>
        <v>13002402.549598211</v>
      </c>
      <c r="R69" s="128">
        <f t="shared" si="11"/>
        <v>13028407.354697406</v>
      </c>
      <c r="S69" s="128">
        <f t="shared" si="11"/>
        <v>14852384.384355044</v>
      </c>
      <c r="T69" s="128">
        <f t="shared" si="11"/>
        <v>153859152.75923544</v>
      </c>
      <c r="U69" s="128">
        <f t="shared" si="11"/>
        <v>153716537.88</v>
      </c>
      <c r="V69" s="129">
        <f>+U69/E69*100</f>
        <v>107.64564373611319</v>
      </c>
      <c r="W69" s="130">
        <f>+V69/W$17*100-100</f>
        <v>2.617391550155574</v>
      </c>
      <c r="X69" s="129">
        <f t="shared" si="4"/>
        <v>107.64564373611319</v>
      </c>
      <c r="Y69" s="487">
        <f>+U69-G69</f>
        <v>439623.95932003856</v>
      </c>
    </row>
    <row r="70" spans="1:25" ht="15.75" hidden="1">
      <c r="A70" s="133"/>
      <c r="B70" s="134"/>
      <c r="C70" s="118" t="s">
        <v>29</v>
      </c>
      <c r="D70" s="528"/>
      <c r="E70" s="119">
        <v>2.5064269215242305</v>
      </c>
      <c r="F70" s="119">
        <f t="shared" si="1"/>
        <v>2.5064269215242305</v>
      </c>
      <c r="G70" s="119">
        <v>2.4774829301202552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>
        <f t="shared" si="2"/>
        <v>0</v>
      </c>
      <c r="U70" s="119">
        <v>2.484588767698972</v>
      </c>
      <c r="V70" s="120"/>
      <c r="W70" s="121"/>
      <c r="X70" s="121"/>
      <c r="Y70" s="485">
        <f>+U70-G70</f>
        <v>0.007105837578716745</v>
      </c>
    </row>
    <row r="71" spans="1:25" ht="15">
      <c r="A71" s="122">
        <v>701109</v>
      </c>
      <c r="B71" s="123"/>
      <c r="C71" s="124" t="s">
        <v>40</v>
      </c>
      <c r="D71" s="189">
        <v>125536407</v>
      </c>
      <c r="E71" s="125">
        <v>125773278</v>
      </c>
      <c r="F71" s="125">
        <f t="shared" si="1"/>
        <v>236871</v>
      </c>
      <c r="G71" s="151">
        <v>135111153.39308545</v>
      </c>
      <c r="H71" s="151">
        <v>10769384</v>
      </c>
      <c r="I71" s="151">
        <v>10627830</v>
      </c>
      <c r="J71" s="151">
        <v>10774567</v>
      </c>
      <c r="K71" s="151">
        <v>11039656</v>
      </c>
      <c r="L71" s="151">
        <f aca="true" t="shared" si="12" ref="L71:S71">K71*L23</f>
        <v>11039656</v>
      </c>
      <c r="M71" s="151">
        <f t="shared" si="12"/>
        <v>11176547.7344</v>
      </c>
      <c r="N71" s="151">
        <f t="shared" si="12"/>
        <v>11333019.4026816</v>
      </c>
      <c r="O71" s="151">
        <f t="shared" si="12"/>
        <v>11106359.014627969</v>
      </c>
      <c r="P71" s="151">
        <f t="shared" si="12"/>
        <v>11350698.912949784</v>
      </c>
      <c r="Q71" s="151">
        <f t="shared" si="12"/>
        <v>11418803.106427483</v>
      </c>
      <c r="R71" s="151">
        <f t="shared" si="12"/>
        <v>11441640.712640338</v>
      </c>
      <c r="S71" s="151">
        <f t="shared" si="12"/>
        <v>13043470.412409984</v>
      </c>
      <c r="T71" s="151">
        <f t="shared" si="2"/>
        <v>135121632.29613718</v>
      </c>
      <c r="U71" s="151">
        <v>135366974.23680001</v>
      </c>
      <c r="V71" s="129">
        <f>+U71/E71*100</f>
        <v>107.6277698962414</v>
      </c>
      <c r="W71" s="130">
        <f>+V71/W$17*100-100</f>
        <v>2.600352617961306</v>
      </c>
      <c r="X71" s="129">
        <f t="shared" si="4"/>
        <v>107.6277698962414</v>
      </c>
      <c r="Y71" s="492">
        <f>+U71-G71</f>
        <v>255820.84371456504</v>
      </c>
    </row>
    <row r="72" spans="1:25" ht="15">
      <c r="A72" s="122">
        <v>701110</v>
      </c>
      <c r="B72" s="137"/>
      <c r="C72" s="124" t="s">
        <v>41</v>
      </c>
      <c r="D72" s="189">
        <v>11427023</v>
      </c>
      <c r="E72" s="125">
        <v>11457920</v>
      </c>
      <c r="F72" s="125">
        <f t="shared" si="1"/>
        <v>30897</v>
      </c>
      <c r="G72" s="151">
        <v>12303334.443190211</v>
      </c>
      <c r="H72" s="151">
        <v>974984</v>
      </c>
      <c r="I72" s="151">
        <v>972002</v>
      </c>
      <c r="J72" s="151">
        <v>982626</v>
      </c>
      <c r="K72" s="151">
        <v>1003057</v>
      </c>
      <c r="L72" s="151">
        <f aca="true" t="shared" si="13" ref="L72:S72">K72*L23</f>
        <v>1003057</v>
      </c>
      <c r="M72" s="151">
        <f t="shared" si="13"/>
        <v>1015494.9068</v>
      </c>
      <c r="N72" s="151">
        <f t="shared" si="13"/>
        <v>1029711.8354952</v>
      </c>
      <c r="O72" s="151">
        <f t="shared" si="13"/>
        <v>1009117.598785296</v>
      </c>
      <c r="P72" s="151">
        <f t="shared" si="13"/>
        <v>1031318.1859585725</v>
      </c>
      <c r="Q72" s="151">
        <f t="shared" si="13"/>
        <v>1037506.0950743239</v>
      </c>
      <c r="R72" s="151">
        <f t="shared" si="13"/>
        <v>1039581.1072644726</v>
      </c>
      <c r="S72" s="151">
        <f t="shared" si="13"/>
        <v>1185122.4622814986</v>
      </c>
      <c r="T72" s="151">
        <f t="shared" si="2"/>
        <v>12283578.191659363</v>
      </c>
      <c r="U72" s="151">
        <v>12336703.6032</v>
      </c>
      <c r="V72" s="129">
        <f>+U72/E72*100</f>
        <v>107.66966083896554</v>
      </c>
      <c r="W72" s="130">
        <f>+V72/W$17*100-100</f>
        <v>2.640286786430451</v>
      </c>
      <c r="X72" s="129">
        <f t="shared" si="4"/>
        <v>107.66966083896554</v>
      </c>
      <c r="Y72" s="492">
        <f>+U72-G72</f>
        <v>33369.16000978835</v>
      </c>
    </row>
    <row r="73" spans="1:25" ht="15">
      <c r="A73" s="122">
        <v>701113</v>
      </c>
      <c r="B73" s="137"/>
      <c r="C73" s="124" t="s">
        <v>42</v>
      </c>
      <c r="D73" s="189">
        <v>5428172</v>
      </c>
      <c r="E73" s="125">
        <v>5567463</v>
      </c>
      <c r="F73" s="125">
        <f t="shared" si="1"/>
        <v>139291</v>
      </c>
      <c r="G73" s="125">
        <v>5862426.084404284</v>
      </c>
      <c r="H73" s="125">
        <v>493844</v>
      </c>
      <c r="I73" s="125">
        <v>508409</v>
      </c>
      <c r="J73" s="125">
        <v>528211</v>
      </c>
      <c r="K73" s="125">
        <v>527961</v>
      </c>
      <c r="L73" s="125">
        <f aca="true" t="shared" si="14" ref="L73:S73">K73*L23</f>
        <v>527961</v>
      </c>
      <c r="M73" s="125">
        <f t="shared" si="14"/>
        <v>534507.7164</v>
      </c>
      <c r="N73" s="125">
        <f t="shared" si="14"/>
        <v>541990.8244296</v>
      </c>
      <c r="O73" s="125">
        <f t="shared" si="14"/>
        <v>531151.0079410081</v>
      </c>
      <c r="P73" s="125">
        <f t="shared" si="14"/>
        <v>542836.3301157103</v>
      </c>
      <c r="Q73" s="125">
        <f t="shared" si="14"/>
        <v>546093.3480964046</v>
      </c>
      <c r="R73" s="125">
        <f t="shared" si="14"/>
        <v>547185.5347925974</v>
      </c>
      <c r="S73" s="125">
        <f t="shared" si="14"/>
        <v>623791.509663561</v>
      </c>
      <c r="T73" s="125">
        <f t="shared" si="2"/>
        <v>6453942.271438882</v>
      </c>
      <c r="U73" s="125">
        <v>6012860.04</v>
      </c>
      <c r="V73" s="129">
        <f>+U73/E73*100</f>
        <v>108</v>
      </c>
      <c r="W73" s="130">
        <f>+V73/W$17*100-100</f>
        <v>2.9551954242135423</v>
      </c>
      <c r="X73" s="129">
        <f t="shared" si="4"/>
        <v>108</v>
      </c>
      <c r="Y73" s="486">
        <f>+U73-G73</f>
        <v>150433.9555957159</v>
      </c>
    </row>
    <row r="74" spans="1:25" ht="15">
      <c r="A74" s="136"/>
      <c r="B74" s="137"/>
      <c r="C74" s="152"/>
      <c r="D74" s="142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43"/>
      <c r="X74" s="143"/>
      <c r="Y74" s="493"/>
    </row>
    <row r="75" spans="1:25" ht="15.75">
      <c r="A75" s="131">
        <v>7012</v>
      </c>
      <c r="B75" s="132"/>
      <c r="C75" s="127" t="s">
        <v>43</v>
      </c>
      <c r="D75" s="128">
        <f aca="true" t="shared" si="15" ref="D75:U75">SUM(D77:D84)</f>
        <v>15468914</v>
      </c>
      <c r="E75" s="128">
        <f t="shared" si="15"/>
        <v>15180661</v>
      </c>
      <c r="F75" s="128">
        <f t="shared" si="1"/>
        <v>-288253</v>
      </c>
      <c r="G75" s="128">
        <f>SUM(G77:G84)</f>
        <v>16666945.546508178</v>
      </c>
      <c r="H75" s="128">
        <f t="shared" si="15"/>
        <v>1186556</v>
      </c>
      <c r="I75" s="128">
        <f t="shared" si="15"/>
        <v>1325794</v>
      </c>
      <c r="J75" s="128">
        <f t="shared" si="15"/>
        <v>1379566</v>
      </c>
      <c r="K75" s="128">
        <f t="shared" si="15"/>
        <v>1336163</v>
      </c>
      <c r="L75" s="128">
        <f t="shared" si="15"/>
        <v>1336163</v>
      </c>
      <c r="M75" s="128">
        <f t="shared" si="15"/>
        <v>1349928.8103999998</v>
      </c>
      <c r="N75" s="128">
        <f t="shared" si="15"/>
        <v>1365663.5757455998</v>
      </c>
      <c r="O75" s="128">
        <f t="shared" si="15"/>
        <v>1342870.644230688</v>
      </c>
      <c r="P75" s="128">
        <f t="shared" si="15"/>
        <v>1367441.424403763</v>
      </c>
      <c r="Q75" s="128">
        <f t="shared" si="15"/>
        <v>1374289.9709501858</v>
      </c>
      <c r="R75" s="128">
        <f t="shared" si="15"/>
        <v>1376586.5168920862</v>
      </c>
      <c r="S75" s="128">
        <f t="shared" si="15"/>
        <v>1537666.249256978</v>
      </c>
      <c r="T75" s="128">
        <f t="shared" si="15"/>
        <v>16278689.191879302</v>
      </c>
      <c r="U75" s="128">
        <f t="shared" si="15"/>
        <v>16365444.71</v>
      </c>
      <c r="V75" s="129">
        <f>+U75/E75*100</f>
        <v>107.804559432557</v>
      </c>
      <c r="W75" s="130">
        <f>+V75/W$17*100-100</f>
        <v>2.7688841111124844</v>
      </c>
      <c r="X75" s="129">
        <f t="shared" si="4"/>
        <v>107.804559432557</v>
      </c>
      <c r="Y75" s="487">
        <f aca="true" t="shared" si="16" ref="Y75:Y84">+U75-G75</f>
        <v>-301500.8365081772</v>
      </c>
    </row>
    <row r="76" spans="1:25" ht="15.75" hidden="1">
      <c r="A76" s="133"/>
      <c r="B76" s="134"/>
      <c r="C76" s="118" t="s">
        <v>29</v>
      </c>
      <c r="D76" s="528"/>
      <c r="E76" s="119">
        <v>0.2664536008284626</v>
      </c>
      <c r="F76" s="119">
        <f t="shared" si="1"/>
        <v>0.2664536008284626</v>
      </c>
      <c r="G76" s="119">
        <v>0.2693952535480083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>
        <f t="shared" si="2"/>
        <v>0</v>
      </c>
      <c r="U76" s="119">
        <v>0.26452196143402085</v>
      </c>
      <c r="V76" s="120"/>
      <c r="W76" s="121"/>
      <c r="X76" s="121"/>
      <c r="Y76" s="485">
        <f t="shared" si="16"/>
        <v>-0.00487329211398746</v>
      </c>
    </row>
    <row r="77" spans="1:25" ht="15">
      <c r="A77" s="122">
        <v>701207</v>
      </c>
      <c r="B77" s="123"/>
      <c r="C77" s="124" t="s">
        <v>44</v>
      </c>
      <c r="D77" s="189">
        <v>1045763</v>
      </c>
      <c r="E77" s="125">
        <v>712375</v>
      </c>
      <c r="F77" s="125">
        <f t="shared" si="1"/>
        <v>-333388</v>
      </c>
      <c r="G77" s="125">
        <v>1097005.5430811716</v>
      </c>
      <c r="H77" s="125">
        <v>12175</v>
      </c>
      <c r="I77" s="125">
        <v>61942</v>
      </c>
      <c r="J77" s="125">
        <v>126170</v>
      </c>
      <c r="K77" s="125">
        <v>60382</v>
      </c>
      <c r="L77" s="125">
        <f aca="true" t="shared" si="17" ref="L77:S78">+K77</f>
        <v>60382</v>
      </c>
      <c r="M77" s="125">
        <f t="shared" si="17"/>
        <v>60382</v>
      </c>
      <c r="N77" s="125">
        <f t="shared" si="17"/>
        <v>60382</v>
      </c>
      <c r="O77" s="125">
        <f t="shared" si="17"/>
        <v>60382</v>
      </c>
      <c r="P77" s="125">
        <f t="shared" si="17"/>
        <v>60382</v>
      </c>
      <c r="Q77" s="125">
        <f t="shared" si="17"/>
        <v>60382</v>
      </c>
      <c r="R77" s="125">
        <f t="shared" si="17"/>
        <v>60382</v>
      </c>
      <c r="S77" s="125">
        <f t="shared" si="17"/>
        <v>60382</v>
      </c>
      <c r="T77" s="125">
        <f t="shared" si="2"/>
        <v>743725</v>
      </c>
      <c r="U77" s="125">
        <v>747281.375</v>
      </c>
      <c r="V77" s="129">
        <f aca="true" t="shared" si="18" ref="V77:V84">+U77/E77*100</f>
        <v>104.89999999999999</v>
      </c>
      <c r="W77" s="130">
        <f aca="true" t="shared" si="19" ref="W77:W84">+V77/W$17*100-100</f>
        <v>0</v>
      </c>
      <c r="X77" s="129">
        <f t="shared" si="4"/>
        <v>104.89999999999999</v>
      </c>
      <c r="Y77" s="486">
        <f t="shared" si="16"/>
        <v>-349724.1680811716</v>
      </c>
    </row>
    <row r="78" spans="1:25" ht="15">
      <c r="A78" s="122">
        <v>701208</v>
      </c>
      <c r="B78" s="137"/>
      <c r="C78" s="124" t="s">
        <v>45</v>
      </c>
      <c r="D78" s="189">
        <v>117990</v>
      </c>
      <c r="E78" s="125">
        <v>139154</v>
      </c>
      <c r="F78" s="125">
        <f t="shared" si="1"/>
        <v>21164</v>
      </c>
      <c r="G78" s="125">
        <v>123771.43165966877</v>
      </c>
      <c r="H78" s="125">
        <v>10683</v>
      </c>
      <c r="I78" s="125">
        <v>7054</v>
      </c>
      <c r="J78" s="125">
        <v>17972</v>
      </c>
      <c r="K78" s="125">
        <v>17237</v>
      </c>
      <c r="L78" s="125">
        <f t="shared" si="17"/>
        <v>17237</v>
      </c>
      <c r="M78" s="125">
        <f t="shared" si="17"/>
        <v>17237</v>
      </c>
      <c r="N78" s="125">
        <f t="shared" si="17"/>
        <v>17237</v>
      </c>
      <c r="O78" s="125">
        <f t="shared" si="17"/>
        <v>17237</v>
      </c>
      <c r="P78" s="125">
        <f t="shared" si="17"/>
        <v>17237</v>
      </c>
      <c r="Q78" s="125">
        <f t="shared" si="17"/>
        <v>17237</v>
      </c>
      <c r="R78" s="125">
        <f t="shared" si="17"/>
        <v>17237</v>
      </c>
      <c r="S78" s="125">
        <f t="shared" si="17"/>
        <v>17237</v>
      </c>
      <c r="T78" s="125">
        <f t="shared" si="2"/>
        <v>190842</v>
      </c>
      <c r="U78" s="125">
        <v>145972.546</v>
      </c>
      <c r="V78" s="129">
        <f t="shared" si="18"/>
        <v>104.89999999999999</v>
      </c>
      <c r="W78" s="130">
        <f t="shared" si="19"/>
        <v>0</v>
      </c>
      <c r="X78" s="129">
        <f t="shared" si="4"/>
        <v>104.89999999999999</v>
      </c>
      <c r="Y78" s="486">
        <f t="shared" si="16"/>
        <v>22201.11434033123</v>
      </c>
    </row>
    <row r="79" spans="1:25" ht="15">
      <c r="A79" s="122">
        <v>701209</v>
      </c>
      <c r="B79" s="123"/>
      <c r="C79" s="124" t="s">
        <v>46</v>
      </c>
      <c r="D79" s="189">
        <v>106268</v>
      </c>
      <c r="E79" s="125">
        <v>109993</v>
      </c>
      <c r="F79" s="125">
        <f t="shared" si="1"/>
        <v>3725</v>
      </c>
      <c r="G79" s="125">
        <v>114769.59925376737</v>
      </c>
      <c r="H79" s="125">
        <v>12597</v>
      </c>
      <c r="I79" s="125">
        <v>9960</v>
      </c>
      <c r="J79" s="125">
        <v>9448</v>
      </c>
      <c r="K79" s="125">
        <v>9382</v>
      </c>
      <c r="L79" s="125">
        <f aca="true" t="shared" si="20" ref="L79:S80">K79</f>
        <v>9382</v>
      </c>
      <c r="M79" s="125">
        <f t="shared" si="20"/>
        <v>9382</v>
      </c>
      <c r="N79" s="125">
        <f t="shared" si="20"/>
        <v>9382</v>
      </c>
      <c r="O79" s="125">
        <f t="shared" si="20"/>
        <v>9382</v>
      </c>
      <c r="P79" s="125">
        <f t="shared" si="20"/>
        <v>9382</v>
      </c>
      <c r="Q79" s="125">
        <f t="shared" si="20"/>
        <v>9382</v>
      </c>
      <c r="R79" s="125">
        <f t="shared" si="20"/>
        <v>9382</v>
      </c>
      <c r="S79" s="125">
        <f t="shared" si="20"/>
        <v>9382</v>
      </c>
      <c r="T79" s="125">
        <f t="shared" si="2"/>
        <v>116443</v>
      </c>
      <c r="U79" s="125">
        <v>118792.44</v>
      </c>
      <c r="V79" s="129">
        <f t="shared" si="18"/>
        <v>108</v>
      </c>
      <c r="W79" s="130">
        <f t="shared" si="19"/>
        <v>2.9551954242135423</v>
      </c>
      <c r="X79" s="129">
        <f t="shared" si="4"/>
        <v>108</v>
      </c>
      <c r="Y79" s="486">
        <f t="shared" si="16"/>
        <v>4022.8407462326286</v>
      </c>
    </row>
    <row r="80" spans="1:25" ht="15">
      <c r="A80" s="122">
        <v>701210</v>
      </c>
      <c r="B80" s="137"/>
      <c r="C80" s="124" t="s">
        <v>47</v>
      </c>
      <c r="D80" s="189">
        <v>816847</v>
      </c>
      <c r="E80" s="125">
        <v>805958</v>
      </c>
      <c r="F80" s="125">
        <f t="shared" si="1"/>
        <v>-10889</v>
      </c>
      <c r="G80" s="125">
        <v>882194.2630504762</v>
      </c>
      <c r="H80" s="125">
        <v>65621</v>
      </c>
      <c r="I80" s="125">
        <v>68939</v>
      </c>
      <c r="J80" s="125">
        <v>77540</v>
      </c>
      <c r="K80" s="125">
        <v>67936</v>
      </c>
      <c r="L80" s="125">
        <f t="shared" si="20"/>
        <v>67936</v>
      </c>
      <c r="M80" s="125">
        <f t="shared" si="20"/>
        <v>67936</v>
      </c>
      <c r="N80" s="125">
        <f t="shared" si="20"/>
        <v>67936</v>
      </c>
      <c r="O80" s="125">
        <f t="shared" si="20"/>
        <v>67936</v>
      </c>
      <c r="P80" s="125">
        <f t="shared" si="20"/>
        <v>67936</v>
      </c>
      <c r="Q80" s="125">
        <f t="shared" si="20"/>
        <v>67936</v>
      </c>
      <c r="R80" s="125">
        <f t="shared" si="20"/>
        <v>67936</v>
      </c>
      <c r="S80" s="125">
        <f t="shared" si="20"/>
        <v>67936</v>
      </c>
      <c r="T80" s="125">
        <f t="shared" si="2"/>
        <v>823524</v>
      </c>
      <c r="U80" s="125">
        <v>870434.64</v>
      </c>
      <c r="V80" s="129">
        <f t="shared" si="18"/>
        <v>108</v>
      </c>
      <c r="W80" s="130">
        <f t="shared" si="19"/>
        <v>2.9551954242135423</v>
      </c>
      <c r="X80" s="129">
        <f t="shared" si="4"/>
        <v>108</v>
      </c>
      <c r="Y80" s="486">
        <f t="shared" si="16"/>
        <v>-11759.623050476192</v>
      </c>
    </row>
    <row r="81" spans="1:25" ht="15">
      <c r="A81" s="122">
        <v>701211</v>
      </c>
      <c r="B81" s="137"/>
      <c r="C81" s="124" t="s">
        <v>48</v>
      </c>
      <c r="D81" s="189">
        <v>109831</v>
      </c>
      <c r="E81" s="125">
        <v>105541</v>
      </c>
      <c r="F81" s="125">
        <f t="shared" si="1"/>
        <v>-4290</v>
      </c>
      <c r="G81" s="125">
        <v>115212.42946547225</v>
      </c>
      <c r="H81" s="125">
        <v>5729</v>
      </c>
      <c r="I81" s="125">
        <v>4641</v>
      </c>
      <c r="J81" s="125">
        <v>9467</v>
      </c>
      <c r="K81" s="125">
        <v>8866</v>
      </c>
      <c r="L81" s="125">
        <f aca="true" t="shared" si="21" ref="L81:S81">+K81</f>
        <v>8866</v>
      </c>
      <c r="M81" s="125">
        <f t="shared" si="21"/>
        <v>8866</v>
      </c>
      <c r="N81" s="125">
        <f t="shared" si="21"/>
        <v>8866</v>
      </c>
      <c r="O81" s="125">
        <f t="shared" si="21"/>
        <v>8866</v>
      </c>
      <c r="P81" s="125">
        <f t="shared" si="21"/>
        <v>8866</v>
      </c>
      <c r="Q81" s="125">
        <f t="shared" si="21"/>
        <v>8866</v>
      </c>
      <c r="R81" s="125">
        <f t="shared" si="21"/>
        <v>8866</v>
      </c>
      <c r="S81" s="125">
        <f t="shared" si="21"/>
        <v>8866</v>
      </c>
      <c r="T81" s="125">
        <f t="shared" si="2"/>
        <v>99631</v>
      </c>
      <c r="U81" s="125">
        <v>110712.509</v>
      </c>
      <c r="V81" s="129">
        <f t="shared" si="18"/>
        <v>104.90000000000002</v>
      </c>
      <c r="W81" s="130">
        <f t="shared" si="19"/>
        <v>0</v>
      </c>
      <c r="X81" s="129">
        <f t="shared" si="4"/>
        <v>104.90000000000002</v>
      </c>
      <c r="Y81" s="486">
        <f t="shared" si="16"/>
        <v>-4499.920465472242</v>
      </c>
    </row>
    <row r="82" spans="1:25" ht="15.75" customHeight="1">
      <c r="A82" s="122">
        <v>701212</v>
      </c>
      <c r="B82" s="137"/>
      <c r="C82" s="124" t="s">
        <v>49</v>
      </c>
      <c r="D82" s="189">
        <v>758841</v>
      </c>
      <c r="E82" s="125">
        <v>679226</v>
      </c>
      <c r="F82" s="125">
        <f t="shared" si="1"/>
        <v>-79615</v>
      </c>
      <c r="G82" s="125">
        <v>819547.9378357651</v>
      </c>
      <c r="H82" s="125">
        <v>64979</v>
      </c>
      <c r="I82" s="125">
        <v>88561</v>
      </c>
      <c r="J82" s="125">
        <v>27775</v>
      </c>
      <c r="K82" s="125">
        <v>62214</v>
      </c>
      <c r="L82" s="125">
        <f aca="true" t="shared" si="22" ref="L82:S82">K82</f>
        <v>62214</v>
      </c>
      <c r="M82" s="125">
        <f t="shared" si="22"/>
        <v>62214</v>
      </c>
      <c r="N82" s="125">
        <f t="shared" si="22"/>
        <v>62214</v>
      </c>
      <c r="O82" s="125">
        <f t="shared" si="22"/>
        <v>62214</v>
      </c>
      <c r="P82" s="125">
        <f t="shared" si="22"/>
        <v>62214</v>
      </c>
      <c r="Q82" s="125">
        <f t="shared" si="22"/>
        <v>62214</v>
      </c>
      <c r="R82" s="125">
        <f t="shared" si="22"/>
        <v>62214</v>
      </c>
      <c r="S82" s="125">
        <f t="shared" si="22"/>
        <v>62214</v>
      </c>
      <c r="T82" s="125">
        <f t="shared" si="2"/>
        <v>741241</v>
      </c>
      <c r="U82" s="125">
        <v>733564.08</v>
      </c>
      <c r="V82" s="129">
        <f t="shared" si="18"/>
        <v>107.99999999999999</v>
      </c>
      <c r="W82" s="130">
        <f t="shared" si="19"/>
        <v>2.955195424213514</v>
      </c>
      <c r="X82" s="129">
        <f t="shared" si="4"/>
        <v>107.99999999999999</v>
      </c>
      <c r="Y82" s="486">
        <f t="shared" si="16"/>
        <v>-85983.85783576511</v>
      </c>
    </row>
    <row r="83" spans="1:25" ht="15">
      <c r="A83" s="122">
        <v>701213</v>
      </c>
      <c r="B83" s="123"/>
      <c r="C83" s="124" t="s">
        <v>50</v>
      </c>
      <c r="D83" s="189">
        <v>6959923</v>
      </c>
      <c r="E83" s="125">
        <v>7036327</v>
      </c>
      <c r="F83" s="125">
        <f t="shared" si="1"/>
        <v>76404</v>
      </c>
      <c r="G83" s="125">
        <v>7516716.450287895</v>
      </c>
      <c r="H83" s="125">
        <v>531199</v>
      </c>
      <c r="I83" s="125">
        <v>595673</v>
      </c>
      <c r="J83" s="125">
        <v>593304</v>
      </c>
      <c r="K83" s="125">
        <v>592240</v>
      </c>
      <c r="L83" s="125">
        <f aca="true" t="shared" si="23" ref="L83:S83">K83*L23</f>
        <v>592240</v>
      </c>
      <c r="M83" s="125">
        <f t="shared" si="23"/>
        <v>599583.776</v>
      </c>
      <c r="N83" s="125">
        <f t="shared" si="23"/>
        <v>607977.9488639999</v>
      </c>
      <c r="O83" s="125">
        <f t="shared" si="23"/>
        <v>595818.3898867199</v>
      </c>
      <c r="P83" s="125">
        <f t="shared" si="23"/>
        <v>608926.3944642277</v>
      </c>
      <c r="Q83" s="125">
        <f t="shared" si="23"/>
        <v>612579.9528310131</v>
      </c>
      <c r="R83" s="125">
        <f t="shared" si="23"/>
        <v>613805.1127366752</v>
      </c>
      <c r="S83" s="125">
        <f t="shared" si="23"/>
        <v>699737.8285198096</v>
      </c>
      <c r="T83" s="125">
        <f t="shared" si="2"/>
        <v>7243085.403302445</v>
      </c>
      <c r="U83" s="125">
        <v>7599233.16</v>
      </c>
      <c r="V83" s="129">
        <f t="shared" si="18"/>
        <v>108</v>
      </c>
      <c r="W83" s="130">
        <f t="shared" si="19"/>
        <v>2.9551954242135423</v>
      </c>
      <c r="X83" s="129">
        <f t="shared" si="4"/>
        <v>108</v>
      </c>
      <c r="Y83" s="486">
        <f t="shared" si="16"/>
        <v>82516.70971210487</v>
      </c>
    </row>
    <row r="84" spans="1:25" ht="15">
      <c r="A84" s="122">
        <v>701214</v>
      </c>
      <c r="B84" s="123"/>
      <c r="C84" s="124" t="s">
        <v>51</v>
      </c>
      <c r="D84" s="189">
        <f>5553452-1</f>
        <v>5553451</v>
      </c>
      <c r="E84" s="125">
        <v>5592087</v>
      </c>
      <c r="F84" s="125">
        <f t="shared" si="1"/>
        <v>38636</v>
      </c>
      <c r="G84" s="125">
        <v>5997727.89187396</v>
      </c>
      <c r="H84" s="125">
        <v>483573</v>
      </c>
      <c r="I84" s="125">
        <v>489024</v>
      </c>
      <c r="J84" s="125">
        <v>517890</v>
      </c>
      <c r="K84" s="125">
        <v>517906</v>
      </c>
      <c r="L84" s="125">
        <f aca="true" t="shared" si="24" ref="L84:S84">K84*L23</f>
        <v>517906</v>
      </c>
      <c r="M84" s="125">
        <f t="shared" si="24"/>
        <v>524328.0344</v>
      </c>
      <c r="N84" s="125">
        <f t="shared" si="24"/>
        <v>531668.6268816</v>
      </c>
      <c r="O84" s="125">
        <f t="shared" si="24"/>
        <v>521035.254343968</v>
      </c>
      <c r="P84" s="125">
        <f t="shared" si="24"/>
        <v>532498.0299395353</v>
      </c>
      <c r="Q84" s="125">
        <f t="shared" si="24"/>
        <v>535693.0181191725</v>
      </c>
      <c r="R84" s="125">
        <f t="shared" si="24"/>
        <v>536764.404155411</v>
      </c>
      <c r="S84" s="125">
        <f t="shared" si="24"/>
        <v>611911.4207371684</v>
      </c>
      <c r="T84" s="125">
        <f t="shared" si="2"/>
        <v>6320197.788576855</v>
      </c>
      <c r="U84" s="125">
        <v>6039453.96</v>
      </c>
      <c r="V84" s="129">
        <f t="shared" si="18"/>
        <v>108</v>
      </c>
      <c r="W84" s="130">
        <f t="shared" si="19"/>
        <v>2.9551954242135423</v>
      </c>
      <c r="X84" s="129">
        <f t="shared" si="4"/>
        <v>108</v>
      </c>
      <c r="Y84" s="486">
        <f t="shared" si="16"/>
        <v>41726.06812603958</v>
      </c>
    </row>
    <row r="85" spans="1:25" ht="15">
      <c r="A85" s="136"/>
      <c r="B85" s="137"/>
      <c r="C85" s="152"/>
      <c r="D85" s="142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43"/>
      <c r="X85" s="143"/>
      <c r="Y85" s="493"/>
    </row>
    <row r="86" spans="1:249" ht="15.75">
      <c r="A86" s="131">
        <v>7013</v>
      </c>
      <c r="B86" s="132"/>
      <c r="C86" s="127" t="s">
        <v>52</v>
      </c>
      <c r="D86" s="128">
        <f>SUM(D88:D94)</f>
        <v>6952136</v>
      </c>
      <c r="E86" s="128">
        <f>SUM(E88:E94)</f>
        <v>6535754</v>
      </c>
      <c r="F86" s="128">
        <f t="shared" si="1"/>
        <v>-416382</v>
      </c>
      <c r="G86" s="128">
        <f>SUM(G88:G94)</f>
        <v>7327603.888867872</v>
      </c>
      <c r="H86" s="128">
        <f aca="true" t="shared" si="25" ref="H86:T86">SUM(H88:H95)</f>
        <v>467431</v>
      </c>
      <c r="I86" s="128">
        <f t="shared" si="25"/>
        <v>478792</v>
      </c>
      <c r="J86" s="128">
        <f t="shared" si="25"/>
        <v>612377</v>
      </c>
      <c r="K86" s="128">
        <f t="shared" si="25"/>
        <v>543556</v>
      </c>
      <c r="L86" s="128">
        <f t="shared" si="25"/>
        <v>543556</v>
      </c>
      <c r="M86" s="128">
        <f t="shared" si="25"/>
        <v>543556</v>
      </c>
      <c r="N86" s="128">
        <f t="shared" si="25"/>
        <v>543556</v>
      </c>
      <c r="O86" s="128">
        <f t="shared" si="25"/>
        <v>543556</v>
      </c>
      <c r="P86" s="128">
        <f t="shared" si="25"/>
        <v>543556</v>
      </c>
      <c r="Q86" s="128">
        <f t="shared" si="25"/>
        <v>543556</v>
      </c>
      <c r="R86" s="128">
        <f t="shared" si="25"/>
        <v>543556</v>
      </c>
      <c r="S86" s="128">
        <f t="shared" si="25"/>
        <v>543556</v>
      </c>
      <c r="T86" s="128">
        <f t="shared" si="25"/>
        <v>6450604</v>
      </c>
      <c r="U86" s="128">
        <f>SUM(U88:U94)</f>
        <v>6541691.47274</v>
      </c>
      <c r="V86" s="129">
        <f>+U86/E86*100</f>
        <v>100.09084602541651</v>
      </c>
      <c r="W86" s="130">
        <f>+V86/W$17*100-100</f>
        <v>-4.584512845170153</v>
      </c>
      <c r="X86" s="129">
        <f t="shared" si="4"/>
        <v>100.09084602541651</v>
      </c>
      <c r="Y86" s="487">
        <f aca="true" t="shared" si="26" ref="Y86:Y92">+U86-G86</f>
        <v>-785912.4161278717</v>
      </c>
      <c r="IO86" s="7"/>
    </row>
    <row r="87" spans="1:25" ht="15.75" hidden="1">
      <c r="A87" s="133"/>
      <c r="B87" s="134"/>
      <c r="C87" s="118" t="s">
        <v>29</v>
      </c>
      <c r="D87" s="528"/>
      <c r="E87" s="119">
        <v>0.11471669036210136</v>
      </c>
      <c r="F87" s="119">
        <f t="shared" si="1"/>
        <v>0.11471669036210136</v>
      </c>
      <c r="G87" s="119">
        <v>0.11843932063211793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>
        <f t="shared" si="2"/>
        <v>0</v>
      </c>
      <c r="U87" s="119">
        <v>0.11139347437673756</v>
      </c>
      <c r="V87" s="120"/>
      <c r="W87" s="121"/>
      <c r="X87" s="121"/>
      <c r="Y87" s="485">
        <f t="shared" si="26"/>
        <v>-0.007045846255380364</v>
      </c>
    </row>
    <row r="88" spans="1:25" ht="15">
      <c r="A88" s="122">
        <v>701303</v>
      </c>
      <c r="B88" s="123"/>
      <c r="C88" s="124" t="s">
        <v>53</v>
      </c>
      <c r="D88" s="189">
        <v>1645087</v>
      </c>
      <c r="E88" s="125">
        <v>1621208</v>
      </c>
      <c r="F88" s="125">
        <f t="shared" si="1"/>
        <v>-23879</v>
      </c>
      <c r="G88" s="125">
        <v>1776693.6111044365</v>
      </c>
      <c r="H88" s="125">
        <v>56066</v>
      </c>
      <c r="I88" s="125">
        <v>50337</v>
      </c>
      <c r="J88" s="125">
        <v>175150</v>
      </c>
      <c r="K88" s="125">
        <v>123505</v>
      </c>
      <c r="L88" s="125">
        <f aca="true" t="shared" si="27" ref="L88:S88">K88</f>
        <v>123505</v>
      </c>
      <c r="M88" s="125">
        <f t="shared" si="27"/>
        <v>123505</v>
      </c>
      <c r="N88" s="125">
        <f t="shared" si="27"/>
        <v>123505</v>
      </c>
      <c r="O88" s="125">
        <f t="shared" si="27"/>
        <v>123505</v>
      </c>
      <c r="P88" s="125">
        <f t="shared" si="27"/>
        <v>123505</v>
      </c>
      <c r="Q88" s="125">
        <f t="shared" si="27"/>
        <v>123505</v>
      </c>
      <c r="R88" s="125">
        <f t="shared" si="27"/>
        <v>123505</v>
      </c>
      <c r="S88" s="125">
        <f t="shared" si="27"/>
        <v>123505</v>
      </c>
      <c r="T88" s="125">
        <f>SUM(H88:S88)</f>
        <v>1393098</v>
      </c>
      <c r="U88" s="125">
        <f>1750904.64-350000</f>
        <v>1400904.64</v>
      </c>
      <c r="V88" s="129">
        <f>+U88/E88*100</f>
        <v>86.41116007322934</v>
      </c>
      <c r="W88" s="130">
        <f>+V88/W$17*100-100</f>
        <v>-17.625204887293293</v>
      </c>
      <c r="X88" s="129">
        <f t="shared" si="4"/>
        <v>86.41116007322934</v>
      </c>
      <c r="Y88" s="486">
        <f t="shared" si="26"/>
        <v>-375788.97110443655</v>
      </c>
    </row>
    <row r="89" spans="1:25" ht="15">
      <c r="A89" s="122">
        <v>701304</v>
      </c>
      <c r="B89" s="123"/>
      <c r="C89" s="124" t="s">
        <v>54</v>
      </c>
      <c r="D89" s="189">
        <v>178</v>
      </c>
      <c r="E89" s="125">
        <v>178</v>
      </c>
      <c r="F89" s="125">
        <f t="shared" si="1"/>
        <v>0</v>
      </c>
      <c r="G89" s="125">
        <v>186.722</v>
      </c>
      <c r="H89" s="125">
        <v>0</v>
      </c>
      <c r="I89" s="125">
        <v>0</v>
      </c>
      <c r="J89" s="125">
        <v>0</v>
      </c>
      <c r="K89" s="125">
        <v>0</v>
      </c>
      <c r="L89" s="125">
        <f>K89</f>
        <v>0</v>
      </c>
      <c r="M89" s="125">
        <f aca="true" t="shared" si="28" ref="M89:S89">L89</f>
        <v>0</v>
      </c>
      <c r="N89" s="125">
        <f t="shared" si="28"/>
        <v>0</v>
      </c>
      <c r="O89" s="125">
        <f t="shared" si="28"/>
        <v>0</v>
      </c>
      <c r="P89" s="125">
        <f t="shared" si="28"/>
        <v>0</v>
      </c>
      <c r="Q89" s="125">
        <f t="shared" si="28"/>
        <v>0</v>
      </c>
      <c r="R89" s="125">
        <f t="shared" si="28"/>
        <v>0</v>
      </c>
      <c r="S89" s="125">
        <f t="shared" si="28"/>
        <v>0</v>
      </c>
      <c r="T89" s="125">
        <f t="shared" si="2"/>
        <v>0</v>
      </c>
      <c r="U89" s="125">
        <v>186.722</v>
      </c>
      <c r="V89" s="129">
        <f>+U89/E89*100</f>
        <v>104.90000000000002</v>
      </c>
      <c r="W89" s="130">
        <f>+V89/W$17*100-100</f>
        <v>0</v>
      </c>
      <c r="X89" s="129">
        <f t="shared" si="4"/>
        <v>104.90000000000002</v>
      </c>
      <c r="Y89" s="486">
        <f t="shared" si="26"/>
        <v>0</v>
      </c>
    </row>
    <row r="90" spans="1:25" ht="15">
      <c r="A90" s="122">
        <v>701305</v>
      </c>
      <c r="B90" s="123"/>
      <c r="C90" s="124" t="s">
        <v>55</v>
      </c>
      <c r="D90" s="189">
        <v>893389</v>
      </c>
      <c r="E90" s="125">
        <v>873182</v>
      </c>
      <c r="F90" s="125">
        <f t="shared" si="1"/>
        <v>-20207</v>
      </c>
      <c r="G90" s="125">
        <v>937164.6615003673</v>
      </c>
      <c r="H90" s="125">
        <v>73659</v>
      </c>
      <c r="I90" s="125">
        <v>81598</v>
      </c>
      <c r="J90" s="125">
        <v>86019</v>
      </c>
      <c r="K90" s="125">
        <v>72882</v>
      </c>
      <c r="L90" s="125">
        <f aca="true" t="shared" si="29" ref="L90:S95">K90</f>
        <v>72882</v>
      </c>
      <c r="M90" s="125">
        <f t="shared" si="29"/>
        <v>72882</v>
      </c>
      <c r="N90" s="125">
        <f t="shared" si="29"/>
        <v>72882</v>
      </c>
      <c r="O90" s="125">
        <f t="shared" si="29"/>
        <v>72882</v>
      </c>
      <c r="P90" s="125">
        <f t="shared" si="29"/>
        <v>72882</v>
      </c>
      <c r="Q90" s="125">
        <f t="shared" si="29"/>
        <v>72882</v>
      </c>
      <c r="R90" s="125">
        <f t="shared" si="29"/>
        <v>72882</v>
      </c>
      <c r="S90" s="125">
        <f t="shared" si="29"/>
        <v>72882</v>
      </c>
      <c r="T90" s="125">
        <f t="shared" si="2"/>
        <v>897214</v>
      </c>
      <c r="U90" s="125">
        <v>915967.9180000001</v>
      </c>
      <c r="V90" s="129">
        <f>+U90/E90*100</f>
        <v>104.90000000000002</v>
      </c>
      <c r="W90" s="130">
        <f>+V90/W$17*100-100</f>
        <v>0</v>
      </c>
      <c r="X90" s="129">
        <f t="shared" si="4"/>
        <v>104.90000000000002</v>
      </c>
      <c r="Y90" s="486">
        <f t="shared" si="26"/>
        <v>-21196.743500367273</v>
      </c>
    </row>
    <row r="91" spans="1:25" ht="15">
      <c r="A91" s="154">
        <v>701310</v>
      </c>
      <c r="B91" s="155"/>
      <c r="C91" s="156" t="s">
        <v>56</v>
      </c>
      <c r="D91" s="529">
        <v>2472746</v>
      </c>
      <c r="E91" s="125">
        <v>2267483</v>
      </c>
      <c r="F91" s="125">
        <f t="shared" si="1"/>
        <v>-205263</v>
      </c>
      <c r="G91" s="125">
        <v>2645837.93624456</v>
      </c>
      <c r="H91" s="125">
        <v>189036</v>
      </c>
      <c r="I91" s="125">
        <v>193056</v>
      </c>
      <c r="J91" s="125">
        <v>194904</v>
      </c>
      <c r="K91" s="125">
        <v>196587</v>
      </c>
      <c r="L91" s="125">
        <f t="shared" si="29"/>
        <v>196587</v>
      </c>
      <c r="M91" s="125">
        <f t="shared" si="29"/>
        <v>196587</v>
      </c>
      <c r="N91" s="125">
        <f t="shared" si="29"/>
        <v>196587</v>
      </c>
      <c r="O91" s="125">
        <f t="shared" si="29"/>
        <v>196587</v>
      </c>
      <c r="P91" s="125">
        <f t="shared" si="29"/>
        <v>196587</v>
      </c>
      <c r="Q91" s="125">
        <f t="shared" si="29"/>
        <v>196587</v>
      </c>
      <c r="R91" s="125">
        <f t="shared" si="29"/>
        <v>196587</v>
      </c>
      <c r="S91" s="125">
        <f t="shared" si="29"/>
        <v>196587</v>
      </c>
      <c r="T91" s="125">
        <f t="shared" si="2"/>
        <v>2346279</v>
      </c>
      <c r="U91" s="125">
        <v>2426206.81</v>
      </c>
      <c r="V91" s="129">
        <f>+U91/E91*100</f>
        <v>107</v>
      </c>
      <c r="W91" s="130">
        <f>+V91/W$17*100-100</f>
        <v>2.0019065776930347</v>
      </c>
      <c r="X91" s="129">
        <f t="shared" si="4"/>
        <v>107</v>
      </c>
      <c r="Y91" s="486">
        <f t="shared" si="26"/>
        <v>-219631.12624455988</v>
      </c>
    </row>
    <row r="92" spans="1:25" ht="15">
      <c r="A92" s="154">
        <v>701314</v>
      </c>
      <c r="B92" s="155"/>
      <c r="C92" s="156" t="s">
        <v>57</v>
      </c>
      <c r="D92" s="529">
        <v>293914</v>
      </c>
      <c r="E92" s="125">
        <v>269523</v>
      </c>
      <c r="F92" s="125">
        <f t="shared" si="1"/>
        <v>-24391</v>
      </c>
      <c r="G92" s="125">
        <v>314488.07178032</v>
      </c>
      <c r="H92" s="125">
        <v>25738</v>
      </c>
      <c r="I92" s="125">
        <v>23250</v>
      </c>
      <c r="J92" s="125">
        <v>23422</v>
      </c>
      <c r="K92" s="125">
        <v>25835</v>
      </c>
      <c r="L92" s="125">
        <f t="shared" si="29"/>
        <v>25835</v>
      </c>
      <c r="M92" s="125">
        <f t="shared" si="29"/>
        <v>25835</v>
      </c>
      <c r="N92" s="125">
        <f t="shared" si="29"/>
        <v>25835</v>
      </c>
      <c r="O92" s="125">
        <f t="shared" si="29"/>
        <v>25835</v>
      </c>
      <c r="P92" s="125">
        <f t="shared" si="29"/>
        <v>25835</v>
      </c>
      <c r="Q92" s="125">
        <f t="shared" si="29"/>
        <v>25835</v>
      </c>
      <c r="R92" s="125">
        <f t="shared" si="29"/>
        <v>25835</v>
      </c>
      <c r="S92" s="125">
        <f t="shared" si="29"/>
        <v>25835</v>
      </c>
      <c r="T92" s="125">
        <f t="shared" si="2"/>
        <v>304925</v>
      </c>
      <c r="U92" s="125">
        <v>288389.61</v>
      </c>
      <c r="V92" s="129">
        <f>+U92/E92*100</f>
        <v>106.99999999999999</v>
      </c>
      <c r="W92" s="130">
        <f>+V92/W$17*100-100</f>
        <v>2.0019065776930063</v>
      </c>
      <c r="X92" s="129">
        <f t="shared" si="4"/>
        <v>106.99999999999999</v>
      </c>
      <c r="Y92" s="486">
        <f t="shared" si="26"/>
        <v>-26098.461780320038</v>
      </c>
    </row>
    <row r="93" spans="1:25" ht="15">
      <c r="A93" s="154"/>
      <c r="B93" s="155"/>
      <c r="C93" s="156" t="s">
        <v>58</v>
      </c>
      <c r="D93" s="529"/>
      <c r="E93" s="125"/>
      <c r="F93" s="125"/>
      <c r="G93" s="125"/>
      <c r="H93" s="125">
        <v>0</v>
      </c>
      <c r="I93" s="125">
        <v>0</v>
      </c>
      <c r="J93" s="125">
        <v>0</v>
      </c>
      <c r="K93" s="125">
        <v>0</v>
      </c>
      <c r="L93" s="125">
        <v>0</v>
      </c>
      <c r="M93" s="125">
        <v>0</v>
      </c>
      <c r="N93" s="125">
        <v>0</v>
      </c>
      <c r="O93" s="125">
        <v>0</v>
      </c>
      <c r="P93" s="125">
        <v>0</v>
      </c>
      <c r="Q93" s="125">
        <v>0</v>
      </c>
      <c r="R93" s="125">
        <v>0</v>
      </c>
      <c r="S93" s="125">
        <v>0</v>
      </c>
      <c r="T93" s="125">
        <f t="shared" si="2"/>
        <v>0</v>
      </c>
      <c r="U93" s="125"/>
      <c r="V93" s="129"/>
      <c r="W93" s="130"/>
      <c r="X93" s="130"/>
      <c r="Y93" s="486"/>
    </row>
    <row r="94" spans="1:25" ht="15">
      <c r="A94" s="154">
        <v>701318</v>
      </c>
      <c r="B94" s="155"/>
      <c r="C94" s="156" t="s">
        <v>59</v>
      </c>
      <c r="D94" s="529">
        <v>1646822</v>
      </c>
      <c r="E94" s="125">
        <v>1504180</v>
      </c>
      <c r="F94" s="125">
        <f t="shared" si="1"/>
        <v>-142642</v>
      </c>
      <c r="G94" s="125">
        <v>1653232.886238188</v>
      </c>
      <c r="H94" s="125">
        <v>122932</v>
      </c>
      <c r="I94" s="125">
        <v>130551</v>
      </c>
      <c r="J94" s="125">
        <v>132882</v>
      </c>
      <c r="K94" s="125">
        <v>124747</v>
      </c>
      <c r="L94" s="125">
        <f t="shared" si="29"/>
        <v>124747</v>
      </c>
      <c r="M94" s="125">
        <f t="shared" si="29"/>
        <v>124747</v>
      </c>
      <c r="N94" s="125">
        <f t="shared" si="29"/>
        <v>124747</v>
      </c>
      <c r="O94" s="125">
        <f t="shared" si="29"/>
        <v>124747</v>
      </c>
      <c r="P94" s="125">
        <f t="shared" si="29"/>
        <v>124747</v>
      </c>
      <c r="Q94" s="125">
        <f t="shared" si="29"/>
        <v>124747</v>
      </c>
      <c r="R94" s="125">
        <f t="shared" si="29"/>
        <v>124747</v>
      </c>
      <c r="S94" s="125">
        <f t="shared" si="29"/>
        <v>124747</v>
      </c>
      <c r="T94" s="125">
        <f t="shared" si="2"/>
        <v>1509088</v>
      </c>
      <c r="U94" s="125">
        <v>1510035.77274</v>
      </c>
      <c r="V94" s="129">
        <f>+U94/E94*100</f>
        <v>100.38929999999999</v>
      </c>
      <c r="W94" s="130">
        <f>+V94/W$17*100-100</f>
        <v>-4.300000000000011</v>
      </c>
      <c r="X94" s="129">
        <f t="shared" si="4"/>
        <v>100.38929999999999</v>
      </c>
      <c r="Y94" s="486">
        <f>+U94-G94</f>
        <v>-143197.1134981881</v>
      </c>
    </row>
    <row r="95" spans="1:25" ht="15">
      <c r="A95" s="122">
        <v>701320</v>
      </c>
      <c r="B95" s="123"/>
      <c r="C95" s="124" t="s">
        <v>60</v>
      </c>
      <c r="D95" s="189"/>
      <c r="E95" s="125"/>
      <c r="F95" s="125"/>
      <c r="G95" s="125"/>
      <c r="H95" s="125">
        <v>0</v>
      </c>
      <c r="I95" s="125"/>
      <c r="J95" s="125">
        <v>0</v>
      </c>
      <c r="K95" s="125">
        <f>J95</f>
        <v>0</v>
      </c>
      <c r="L95" s="125">
        <f>K95</f>
        <v>0</v>
      </c>
      <c r="M95" s="125">
        <f t="shared" si="29"/>
        <v>0</v>
      </c>
      <c r="N95" s="125">
        <f t="shared" si="29"/>
        <v>0</v>
      </c>
      <c r="O95" s="125">
        <f t="shared" si="29"/>
        <v>0</v>
      </c>
      <c r="P95" s="125">
        <f t="shared" si="29"/>
        <v>0</v>
      </c>
      <c r="Q95" s="125">
        <f t="shared" si="29"/>
        <v>0</v>
      </c>
      <c r="R95" s="125">
        <f t="shared" si="29"/>
        <v>0</v>
      </c>
      <c r="S95" s="125">
        <f t="shared" si="29"/>
        <v>0</v>
      </c>
      <c r="T95" s="125">
        <f t="shared" si="2"/>
        <v>0</v>
      </c>
      <c r="U95" s="125">
        <v>0</v>
      </c>
      <c r="V95" s="129"/>
      <c r="W95" s="130"/>
      <c r="X95" s="129"/>
      <c r="Y95" s="486">
        <f>+U95-G95</f>
        <v>0</v>
      </c>
    </row>
    <row r="96" spans="1:25" ht="16.5" customHeight="1">
      <c r="A96" s="122"/>
      <c r="B96" s="123"/>
      <c r="C96" s="124"/>
      <c r="D96" s="189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9"/>
      <c r="W96" s="130"/>
      <c r="X96" s="130"/>
      <c r="Y96" s="486"/>
    </row>
    <row r="97" spans="1:25" ht="15.75">
      <c r="A97" s="131">
        <v>71</v>
      </c>
      <c r="B97" s="132"/>
      <c r="C97" s="127" t="s">
        <v>61</v>
      </c>
      <c r="D97" s="128">
        <f aca="true" t="shared" si="30" ref="D97:U97">D100+D106+D109+D112</f>
        <v>4781706</v>
      </c>
      <c r="E97" s="128">
        <f t="shared" si="30"/>
        <v>4481546</v>
      </c>
      <c r="F97" s="128">
        <f t="shared" si="1"/>
        <v>-300160</v>
      </c>
      <c r="G97" s="128">
        <f>G100+G106+G109+G112</f>
        <v>4864092.445875</v>
      </c>
      <c r="H97" s="128">
        <f t="shared" si="30"/>
        <v>162184</v>
      </c>
      <c r="I97" s="128">
        <f t="shared" si="30"/>
        <v>171876</v>
      </c>
      <c r="J97" s="128">
        <f t="shared" si="30"/>
        <v>268922</v>
      </c>
      <c r="K97" s="128">
        <f t="shared" si="30"/>
        <v>1259025</v>
      </c>
      <c r="L97" s="128">
        <f t="shared" si="30"/>
        <v>523470.75</v>
      </c>
      <c r="M97" s="128">
        <f t="shared" si="30"/>
        <v>553470.75</v>
      </c>
      <c r="N97" s="128">
        <f t="shared" si="30"/>
        <v>553470.75</v>
      </c>
      <c r="O97" s="128">
        <f t="shared" si="30"/>
        <v>553470.75</v>
      </c>
      <c r="P97" s="128">
        <f t="shared" si="30"/>
        <v>683470.75</v>
      </c>
      <c r="Q97" s="128">
        <f t="shared" si="30"/>
        <v>553470.75</v>
      </c>
      <c r="R97" s="128">
        <f t="shared" si="30"/>
        <v>553470.75</v>
      </c>
      <c r="S97" s="128">
        <f t="shared" si="30"/>
        <v>782470.75</v>
      </c>
      <c r="T97" s="128">
        <f t="shared" si="30"/>
        <v>6618773</v>
      </c>
      <c r="U97" s="128">
        <f t="shared" si="30"/>
        <v>4884172.12</v>
      </c>
      <c r="V97" s="129">
        <f>+U97/E97*100</f>
        <v>108.98408986541699</v>
      </c>
      <c r="W97" s="130">
        <f>+V97/W$17*100-100</f>
        <v>3.8933173168893944</v>
      </c>
      <c r="X97" s="129">
        <f t="shared" si="4"/>
        <v>108.98408986541699</v>
      </c>
      <c r="Y97" s="487">
        <f>+U97-G97</f>
        <v>20079.674124999903</v>
      </c>
    </row>
    <row r="98" spans="1:28" ht="15.75" hidden="1">
      <c r="A98" s="133"/>
      <c r="B98" s="134"/>
      <c r="C98" s="118" t="s">
        <v>29</v>
      </c>
      <c r="D98" s="528"/>
      <c r="E98" s="119">
        <v>0.07866087444930055</v>
      </c>
      <c r="F98" s="119">
        <f t="shared" si="1"/>
        <v>0.07866087444930055</v>
      </c>
      <c r="G98" s="119">
        <v>0.07862048952406736</v>
      </c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>
        <f t="shared" si="2"/>
        <v>0</v>
      </c>
      <c r="U98" s="119">
        <v>0.078945046227452</v>
      </c>
      <c r="V98" s="120"/>
      <c r="W98" s="121"/>
      <c r="X98" s="121">
        <f t="shared" si="4"/>
        <v>100.36126191088127</v>
      </c>
      <c r="Y98" s="485">
        <f>+U98-G98</f>
        <v>0.0003245567033846458</v>
      </c>
      <c r="AB98" s="559"/>
    </row>
    <row r="99" spans="1:28" ht="15.75">
      <c r="A99" s="122"/>
      <c r="B99" s="123"/>
      <c r="C99" s="124"/>
      <c r="D99" s="189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6"/>
      <c r="X99" s="126"/>
      <c r="Y99" s="486">
        <f>+U99-G99</f>
        <v>0</v>
      </c>
      <c r="AB99" s="560"/>
    </row>
    <row r="100" spans="1:28" ht="15.75">
      <c r="A100" s="131">
        <v>710</v>
      </c>
      <c r="B100" s="132"/>
      <c r="C100" s="127" t="s">
        <v>62</v>
      </c>
      <c r="D100" s="128">
        <f aca="true" t="shared" si="31" ref="D100:U100">SUM(D101:D104)</f>
        <v>187369</v>
      </c>
      <c r="E100" s="128">
        <f t="shared" si="31"/>
        <v>178907</v>
      </c>
      <c r="F100" s="128">
        <f t="shared" si="1"/>
        <v>-8462</v>
      </c>
      <c r="G100" s="128">
        <f>SUM(G101:G104)</f>
        <v>162210</v>
      </c>
      <c r="H100" s="128">
        <f t="shared" si="31"/>
        <v>18084</v>
      </c>
      <c r="I100" s="128">
        <f t="shared" si="31"/>
        <v>13299</v>
      </c>
      <c r="J100" s="128">
        <f t="shared" si="31"/>
        <v>14553</v>
      </c>
      <c r="K100" s="128">
        <f t="shared" si="31"/>
        <v>11339</v>
      </c>
      <c r="L100" s="128">
        <f t="shared" si="31"/>
        <v>11339</v>
      </c>
      <c r="M100" s="128">
        <f t="shared" si="31"/>
        <v>11339</v>
      </c>
      <c r="N100" s="128">
        <f t="shared" si="31"/>
        <v>11339</v>
      </c>
      <c r="O100" s="128">
        <f t="shared" si="31"/>
        <v>11339</v>
      </c>
      <c r="P100" s="128">
        <f t="shared" si="31"/>
        <v>11339</v>
      </c>
      <c r="Q100" s="128">
        <f t="shared" si="31"/>
        <v>11339</v>
      </c>
      <c r="R100" s="128">
        <f t="shared" si="31"/>
        <v>11339</v>
      </c>
      <c r="S100" s="128">
        <f t="shared" si="31"/>
        <v>11339</v>
      </c>
      <c r="T100" s="128">
        <f t="shared" si="31"/>
        <v>147987</v>
      </c>
      <c r="U100" s="128">
        <f t="shared" si="31"/>
        <v>173051</v>
      </c>
      <c r="V100" s="129">
        <f>+U100/E100*100</f>
        <v>96.72679101432587</v>
      </c>
      <c r="W100" s="130">
        <f>+V100/W$17*100-100</f>
        <v>-7.791428966324247</v>
      </c>
      <c r="X100" s="129">
        <f t="shared" si="4"/>
        <v>96.72679101432587</v>
      </c>
      <c r="Y100" s="487">
        <f>+U100-G100</f>
        <v>10841</v>
      </c>
      <c r="AB100" s="561"/>
    </row>
    <row r="101" spans="1:28" ht="15">
      <c r="A101" s="122">
        <v>7100</v>
      </c>
      <c r="B101" s="157"/>
      <c r="C101" s="124" t="s">
        <v>63</v>
      </c>
      <c r="D101" s="189"/>
      <c r="E101" s="125"/>
      <c r="F101" s="125"/>
      <c r="G101" s="125"/>
      <c r="H101" s="125">
        <v>0</v>
      </c>
      <c r="I101" s="125">
        <v>0</v>
      </c>
      <c r="J101" s="125">
        <v>0</v>
      </c>
      <c r="K101" s="125">
        <v>0</v>
      </c>
      <c r="L101" s="125">
        <f>K101</f>
        <v>0</v>
      </c>
      <c r="M101" s="125">
        <f>L101</f>
        <v>0</v>
      </c>
      <c r="N101" s="125">
        <f aca="true" t="shared" si="32" ref="N101:S101">M101</f>
        <v>0</v>
      </c>
      <c r="O101" s="125">
        <f t="shared" si="32"/>
        <v>0</v>
      </c>
      <c r="P101" s="125">
        <f t="shared" si="32"/>
        <v>0</v>
      </c>
      <c r="Q101" s="125">
        <f t="shared" si="32"/>
        <v>0</v>
      </c>
      <c r="R101" s="125">
        <f t="shared" si="32"/>
        <v>0</v>
      </c>
      <c r="S101" s="125">
        <f t="shared" si="32"/>
        <v>0</v>
      </c>
      <c r="T101" s="125">
        <f>SUM(H101:S101)</f>
        <v>0</v>
      </c>
      <c r="U101" s="125"/>
      <c r="V101" s="125"/>
      <c r="W101" s="126"/>
      <c r="X101" s="126"/>
      <c r="Y101" s="486"/>
      <c r="AB101" s="562"/>
    </row>
    <row r="102" spans="1:25" ht="15">
      <c r="A102" s="122">
        <v>7101</v>
      </c>
      <c r="B102" s="123"/>
      <c r="C102" s="124" t="s">
        <v>64</v>
      </c>
      <c r="D102" s="189"/>
      <c r="E102" s="125">
        <v>8</v>
      </c>
      <c r="F102" s="125">
        <f t="shared" si="1"/>
        <v>8</v>
      </c>
      <c r="G102" s="125">
        <v>0</v>
      </c>
      <c r="H102" s="125">
        <v>0</v>
      </c>
      <c r="I102" s="125"/>
      <c r="J102" s="125">
        <v>0</v>
      </c>
      <c r="K102" s="125">
        <v>0</v>
      </c>
      <c r="L102" s="125">
        <f aca="true" t="shared" si="33" ref="L102:M104">K102</f>
        <v>0</v>
      </c>
      <c r="M102" s="125">
        <f t="shared" si="33"/>
        <v>0</v>
      </c>
      <c r="N102" s="125">
        <f aca="true" t="shared" si="34" ref="N102:S102">M102</f>
        <v>0</v>
      </c>
      <c r="O102" s="125">
        <f t="shared" si="34"/>
        <v>0</v>
      </c>
      <c r="P102" s="125">
        <f t="shared" si="34"/>
        <v>0</v>
      </c>
      <c r="Q102" s="125">
        <f t="shared" si="34"/>
        <v>0</v>
      </c>
      <c r="R102" s="125">
        <f t="shared" si="34"/>
        <v>0</v>
      </c>
      <c r="S102" s="125">
        <f t="shared" si="34"/>
        <v>0</v>
      </c>
      <c r="T102" s="125">
        <f t="shared" si="2"/>
        <v>0</v>
      </c>
      <c r="U102" s="125">
        <v>0</v>
      </c>
      <c r="V102" s="129" t="s">
        <v>0</v>
      </c>
      <c r="W102" s="130" t="s">
        <v>0</v>
      </c>
      <c r="X102" s="129">
        <f t="shared" si="4"/>
        <v>0</v>
      </c>
      <c r="Y102" s="486">
        <f>+U102-G102</f>
        <v>0</v>
      </c>
    </row>
    <row r="103" spans="1:25" ht="15">
      <c r="A103" s="122">
        <v>7102</v>
      </c>
      <c r="B103" s="123"/>
      <c r="C103" s="124" t="s">
        <v>65</v>
      </c>
      <c r="D103" s="189">
        <v>52210</v>
      </c>
      <c r="E103" s="125">
        <v>63051</v>
      </c>
      <c r="F103" s="125">
        <f t="shared" si="1"/>
        <v>10841</v>
      </c>
      <c r="G103" s="125">
        <v>52210</v>
      </c>
      <c r="H103" s="125">
        <v>5202</v>
      </c>
      <c r="I103" s="125">
        <v>4095</v>
      </c>
      <c r="J103" s="125">
        <v>5385</v>
      </c>
      <c r="K103" s="125">
        <v>4445</v>
      </c>
      <c r="L103" s="125">
        <f t="shared" si="33"/>
        <v>4445</v>
      </c>
      <c r="M103" s="125">
        <f t="shared" si="33"/>
        <v>4445</v>
      </c>
      <c r="N103" s="125">
        <f aca="true" t="shared" si="35" ref="N103:S103">M103</f>
        <v>4445</v>
      </c>
      <c r="O103" s="125">
        <f t="shared" si="35"/>
        <v>4445</v>
      </c>
      <c r="P103" s="125">
        <f t="shared" si="35"/>
        <v>4445</v>
      </c>
      <c r="Q103" s="125">
        <f t="shared" si="35"/>
        <v>4445</v>
      </c>
      <c r="R103" s="125">
        <f t="shared" si="35"/>
        <v>4445</v>
      </c>
      <c r="S103" s="125">
        <f t="shared" si="35"/>
        <v>4445</v>
      </c>
      <c r="T103" s="125">
        <f t="shared" si="2"/>
        <v>54687</v>
      </c>
      <c r="U103" s="125">
        <v>63051</v>
      </c>
      <c r="V103" s="129">
        <f>+U103/E103*100</f>
        <v>100</v>
      </c>
      <c r="W103" s="130">
        <f>+V103/W$17*100-100</f>
        <v>-4.671115347950433</v>
      </c>
      <c r="X103" s="129">
        <f t="shared" si="4"/>
        <v>100</v>
      </c>
      <c r="Y103" s="486">
        <f>+U103-G103</f>
        <v>10841</v>
      </c>
    </row>
    <row r="104" spans="1:25" ht="15">
      <c r="A104" s="122">
        <v>7103</v>
      </c>
      <c r="B104" s="158"/>
      <c r="C104" s="124" t="s">
        <v>66</v>
      </c>
      <c r="D104" s="189">
        <v>135159</v>
      </c>
      <c r="E104" s="125">
        <v>115848</v>
      </c>
      <c r="F104" s="125">
        <f t="shared" si="1"/>
        <v>-19311</v>
      </c>
      <c r="G104" s="125">
        <v>110000</v>
      </c>
      <c r="H104" s="125">
        <v>12882</v>
      </c>
      <c r="I104" s="125">
        <v>9204</v>
      </c>
      <c r="J104" s="125">
        <v>9168</v>
      </c>
      <c r="K104" s="125">
        <v>6894</v>
      </c>
      <c r="L104" s="125">
        <f t="shared" si="33"/>
        <v>6894</v>
      </c>
      <c r="M104" s="125">
        <f t="shared" si="33"/>
        <v>6894</v>
      </c>
      <c r="N104" s="125">
        <f aca="true" t="shared" si="36" ref="N104:S104">M104</f>
        <v>6894</v>
      </c>
      <c r="O104" s="125">
        <f t="shared" si="36"/>
        <v>6894</v>
      </c>
      <c r="P104" s="125">
        <f t="shared" si="36"/>
        <v>6894</v>
      </c>
      <c r="Q104" s="125">
        <f t="shared" si="36"/>
        <v>6894</v>
      </c>
      <c r="R104" s="125">
        <f t="shared" si="36"/>
        <v>6894</v>
      </c>
      <c r="S104" s="125">
        <f t="shared" si="36"/>
        <v>6894</v>
      </c>
      <c r="T104" s="125">
        <f t="shared" si="2"/>
        <v>93300</v>
      </c>
      <c r="U104" s="125">
        <v>110000</v>
      </c>
      <c r="V104" s="129">
        <f>+U104/E104*100</f>
        <v>94.95200607692838</v>
      </c>
      <c r="W104" s="130">
        <f>+V104/W$17*100-100</f>
        <v>-9.483311652117848</v>
      </c>
      <c r="X104" s="129">
        <f t="shared" si="4"/>
        <v>94.95200607692838</v>
      </c>
      <c r="Y104" s="486">
        <f>+U104-G104</f>
        <v>0</v>
      </c>
    </row>
    <row r="105" spans="1:25" ht="15">
      <c r="A105" s="122"/>
      <c r="B105" s="159"/>
      <c r="C105" s="124"/>
      <c r="D105" s="189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6"/>
      <c r="X105" s="129"/>
      <c r="Y105" s="486"/>
    </row>
    <row r="106" spans="1:25" ht="15.75">
      <c r="A106" s="131">
        <v>712</v>
      </c>
      <c r="B106" s="160"/>
      <c r="C106" s="127" t="s">
        <v>67</v>
      </c>
      <c r="D106" s="530">
        <f>+D107</f>
        <v>71780</v>
      </c>
      <c r="E106" s="125">
        <f>+E107</f>
        <v>74750</v>
      </c>
      <c r="F106" s="125">
        <f t="shared" si="1"/>
        <v>2970</v>
      </c>
      <c r="G106" s="125">
        <v>75297.22</v>
      </c>
      <c r="H106" s="125">
        <f aca="true" t="shared" si="37" ref="H106:T106">H107</f>
        <v>3343</v>
      </c>
      <c r="I106" s="125">
        <f t="shared" si="37"/>
        <v>2074</v>
      </c>
      <c r="J106" s="125">
        <f t="shared" si="37"/>
        <v>2769</v>
      </c>
      <c r="K106" s="125">
        <f t="shared" si="37"/>
        <v>1311</v>
      </c>
      <c r="L106" s="125">
        <f t="shared" si="37"/>
        <v>2500</v>
      </c>
      <c r="M106" s="125">
        <f t="shared" si="37"/>
        <v>2500</v>
      </c>
      <c r="N106" s="125">
        <f t="shared" si="37"/>
        <v>2500</v>
      </c>
      <c r="O106" s="125">
        <f t="shared" si="37"/>
        <v>2500</v>
      </c>
      <c r="P106" s="125">
        <f t="shared" si="37"/>
        <v>2500</v>
      </c>
      <c r="Q106" s="125">
        <f t="shared" si="37"/>
        <v>2500</v>
      </c>
      <c r="R106" s="125">
        <f t="shared" si="37"/>
        <v>2500</v>
      </c>
      <c r="S106" s="125">
        <f t="shared" si="37"/>
        <v>2500</v>
      </c>
      <c r="T106" s="125">
        <f t="shared" si="37"/>
        <v>29497</v>
      </c>
      <c r="U106" s="125">
        <f>+U107</f>
        <v>78412.75</v>
      </c>
      <c r="V106" s="129">
        <f>+U106/E106*100</f>
        <v>104.89999999999999</v>
      </c>
      <c r="W106" s="130">
        <f>+V106/W$17*100-100</f>
        <v>0</v>
      </c>
      <c r="X106" s="129">
        <f t="shared" si="4"/>
        <v>104.89999999999999</v>
      </c>
      <c r="Y106" s="486">
        <f>+U106-G106</f>
        <v>3115.529999999999</v>
      </c>
    </row>
    <row r="107" spans="1:25" ht="15">
      <c r="A107" s="122">
        <v>7120</v>
      </c>
      <c r="B107" s="123"/>
      <c r="C107" s="124" t="s">
        <v>68</v>
      </c>
      <c r="D107" s="189">
        <v>71780</v>
      </c>
      <c r="E107" s="125">
        <v>74750</v>
      </c>
      <c r="F107" s="125">
        <f t="shared" si="1"/>
        <v>2970</v>
      </c>
      <c r="G107" s="125">
        <v>75297.22</v>
      </c>
      <c r="H107" s="125">
        <v>3343</v>
      </c>
      <c r="I107" s="125">
        <v>2074</v>
      </c>
      <c r="J107" s="125">
        <v>2769</v>
      </c>
      <c r="K107" s="125">
        <v>1311</v>
      </c>
      <c r="L107" s="125">
        <v>2500</v>
      </c>
      <c r="M107" s="125">
        <f>L107</f>
        <v>2500</v>
      </c>
      <c r="N107" s="125">
        <f aca="true" t="shared" si="38" ref="N107:S107">M107</f>
        <v>2500</v>
      </c>
      <c r="O107" s="125">
        <f t="shared" si="38"/>
        <v>2500</v>
      </c>
      <c r="P107" s="125">
        <f t="shared" si="38"/>
        <v>2500</v>
      </c>
      <c r="Q107" s="125">
        <f t="shared" si="38"/>
        <v>2500</v>
      </c>
      <c r="R107" s="125">
        <f t="shared" si="38"/>
        <v>2500</v>
      </c>
      <c r="S107" s="125">
        <f t="shared" si="38"/>
        <v>2500</v>
      </c>
      <c r="T107" s="125">
        <f t="shared" si="2"/>
        <v>29497</v>
      </c>
      <c r="U107" s="125">
        <v>78412.75</v>
      </c>
      <c r="V107" s="129">
        <f>+U107/E107*100</f>
        <v>104.89999999999999</v>
      </c>
      <c r="W107" s="130">
        <f>+V107/W$17*100-100</f>
        <v>0</v>
      </c>
      <c r="X107" s="129">
        <f t="shared" si="4"/>
        <v>104.89999999999999</v>
      </c>
      <c r="Y107" s="486">
        <f>+U107-G107</f>
        <v>3115.529999999999</v>
      </c>
    </row>
    <row r="108" spans="1:25" ht="15">
      <c r="A108" s="122"/>
      <c r="B108" s="159"/>
      <c r="C108" s="124"/>
      <c r="D108" s="189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6"/>
      <c r="X108" s="126"/>
      <c r="Y108" s="486"/>
    </row>
    <row r="109" spans="1:25" ht="15.75">
      <c r="A109" s="131">
        <v>713</v>
      </c>
      <c r="B109" s="132"/>
      <c r="C109" s="127" t="s">
        <v>69</v>
      </c>
      <c r="D109" s="128">
        <f aca="true" t="shared" si="39" ref="D109:U109">D110</f>
        <v>1717624</v>
      </c>
      <c r="E109" s="128">
        <f t="shared" si="39"/>
        <v>1904822</v>
      </c>
      <c r="F109" s="128">
        <f t="shared" si="1"/>
        <v>187198</v>
      </c>
      <c r="G109" s="128">
        <f>G110</f>
        <v>1041300</v>
      </c>
      <c r="H109" s="128">
        <f t="shared" si="39"/>
        <v>81550</v>
      </c>
      <c r="I109" s="128">
        <f t="shared" si="39"/>
        <v>91447</v>
      </c>
      <c r="J109" s="128">
        <f t="shared" si="39"/>
        <v>91891</v>
      </c>
      <c r="K109" s="128">
        <f t="shared" si="39"/>
        <v>73393</v>
      </c>
      <c r="L109" s="128">
        <f t="shared" si="39"/>
        <v>84570.25</v>
      </c>
      <c r="M109" s="128">
        <f t="shared" si="39"/>
        <v>84570.25</v>
      </c>
      <c r="N109" s="128">
        <f t="shared" si="39"/>
        <v>84570.25</v>
      </c>
      <c r="O109" s="128">
        <f t="shared" si="39"/>
        <v>84570.25</v>
      </c>
      <c r="P109" s="128">
        <f t="shared" si="39"/>
        <v>84570.25</v>
      </c>
      <c r="Q109" s="128">
        <f t="shared" si="39"/>
        <v>84570.25</v>
      </c>
      <c r="R109" s="128">
        <f t="shared" si="39"/>
        <v>84570.25</v>
      </c>
      <c r="S109" s="128">
        <f t="shared" si="39"/>
        <v>84570.25</v>
      </c>
      <c r="T109" s="128">
        <f t="shared" si="39"/>
        <v>1014843</v>
      </c>
      <c r="U109" s="128">
        <f t="shared" si="39"/>
        <v>1041300</v>
      </c>
      <c r="V109" s="129">
        <f>+U109/E109*100</f>
        <v>54.666525271127696</v>
      </c>
      <c r="W109" s="130">
        <f>+V109/W$17*100-100</f>
        <v>-47.887011181003146</v>
      </c>
      <c r="X109" s="129">
        <f t="shared" si="4"/>
        <v>54.666525271127696</v>
      </c>
      <c r="Y109" s="487">
        <f>+U109-G109</f>
        <v>0</v>
      </c>
    </row>
    <row r="110" spans="1:25" ht="15">
      <c r="A110" s="122">
        <v>7130</v>
      </c>
      <c r="B110" s="123"/>
      <c r="C110" s="124" t="s">
        <v>70</v>
      </c>
      <c r="D110" s="189">
        <v>1717624</v>
      </c>
      <c r="E110" s="125">
        <v>1904822</v>
      </c>
      <c r="F110" s="125">
        <f t="shared" si="1"/>
        <v>187198</v>
      </c>
      <c r="G110" s="125">
        <v>1041300</v>
      </c>
      <c r="H110" s="125">
        <v>81550</v>
      </c>
      <c r="I110" s="125">
        <v>91447</v>
      </c>
      <c r="J110" s="125">
        <v>91891</v>
      </c>
      <c r="K110" s="125">
        <v>73393</v>
      </c>
      <c r="L110" s="125">
        <f>SUM(H110:K110)/4</f>
        <v>84570.25</v>
      </c>
      <c r="M110" s="125">
        <f>+L110</f>
        <v>84570.25</v>
      </c>
      <c r="N110" s="125">
        <f aca="true" t="shared" si="40" ref="N110:S110">M110</f>
        <v>84570.25</v>
      </c>
      <c r="O110" s="125">
        <f t="shared" si="40"/>
        <v>84570.25</v>
      </c>
      <c r="P110" s="125">
        <f t="shared" si="40"/>
        <v>84570.25</v>
      </c>
      <c r="Q110" s="125">
        <f t="shared" si="40"/>
        <v>84570.25</v>
      </c>
      <c r="R110" s="125">
        <f t="shared" si="40"/>
        <v>84570.25</v>
      </c>
      <c r="S110" s="125">
        <f t="shared" si="40"/>
        <v>84570.25</v>
      </c>
      <c r="T110" s="125">
        <f t="shared" si="2"/>
        <v>1014843</v>
      </c>
      <c r="U110" s="125">
        <v>1041300</v>
      </c>
      <c r="V110" s="129">
        <f>+U110/E110*100</f>
        <v>54.666525271127696</v>
      </c>
      <c r="W110" s="130">
        <f>+V110/W$17*100-100</f>
        <v>-47.887011181003146</v>
      </c>
      <c r="X110" s="129">
        <f t="shared" si="4"/>
        <v>54.666525271127696</v>
      </c>
      <c r="Y110" s="486">
        <f aca="true" t="shared" si="41" ref="Y110:Y173">+U110-G110</f>
        <v>0</v>
      </c>
    </row>
    <row r="111" spans="1:25" ht="15">
      <c r="A111" s="122"/>
      <c r="B111" s="123"/>
      <c r="C111" s="124"/>
      <c r="D111" s="189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6"/>
      <c r="X111" s="126"/>
      <c r="Y111" s="486"/>
    </row>
    <row r="112" spans="1:25" ht="15.75">
      <c r="A112" s="131">
        <v>714</v>
      </c>
      <c r="B112" s="132"/>
      <c r="C112" s="127" t="s">
        <v>71</v>
      </c>
      <c r="D112" s="128">
        <f aca="true" t="shared" si="42" ref="D112:U112">+D113</f>
        <v>2804933</v>
      </c>
      <c r="E112" s="128">
        <f t="shared" si="42"/>
        <v>2323067</v>
      </c>
      <c r="F112" s="128">
        <f t="shared" si="1"/>
        <v>-481866</v>
      </c>
      <c r="G112" s="128">
        <f t="shared" si="42"/>
        <v>3585285.225875</v>
      </c>
      <c r="H112" s="128">
        <f t="shared" si="42"/>
        <v>59207</v>
      </c>
      <c r="I112" s="128">
        <f t="shared" si="42"/>
        <v>65056</v>
      </c>
      <c r="J112" s="128">
        <f t="shared" si="42"/>
        <v>159709</v>
      </c>
      <c r="K112" s="128">
        <f t="shared" si="42"/>
        <v>1172982</v>
      </c>
      <c r="L112" s="128">
        <f t="shared" si="42"/>
        <v>425061.5</v>
      </c>
      <c r="M112" s="128">
        <f t="shared" si="42"/>
        <v>455061.5</v>
      </c>
      <c r="N112" s="128">
        <f t="shared" si="42"/>
        <v>455061.5</v>
      </c>
      <c r="O112" s="128">
        <f t="shared" si="42"/>
        <v>455061.5</v>
      </c>
      <c r="P112" s="128">
        <f t="shared" si="42"/>
        <v>585061.5</v>
      </c>
      <c r="Q112" s="128">
        <f t="shared" si="42"/>
        <v>455061.5</v>
      </c>
      <c r="R112" s="128">
        <f t="shared" si="42"/>
        <v>455061.5</v>
      </c>
      <c r="S112" s="128">
        <f t="shared" si="42"/>
        <v>684061.5</v>
      </c>
      <c r="T112" s="128">
        <f t="shared" si="42"/>
        <v>5426446</v>
      </c>
      <c r="U112" s="128">
        <f t="shared" si="42"/>
        <v>3591408.37</v>
      </c>
      <c r="V112" s="129">
        <f aca="true" t="shared" si="43" ref="V112:V117">+U112/E112*100</f>
        <v>154.59770940743422</v>
      </c>
      <c r="W112" s="130">
        <f aca="true" t="shared" si="44" ref="W112:W117">+V112/W$17*100-100</f>
        <v>47.37627207572373</v>
      </c>
      <c r="X112" s="129">
        <f aca="true" t="shared" si="45" ref="X112:X175">+U112/E112*100</f>
        <v>154.59770940743422</v>
      </c>
      <c r="Y112" s="487">
        <f t="shared" si="41"/>
        <v>6123.144125000108</v>
      </c>
    </row>
    <row r="113" spans="1:25" ht="15">
      <c r="A113" s="122">
        <v>7141</v>
      </c>
      <c r="B113" s="123"/>
      <c r="C113" s="124" t="s">
        <v>72</v>
      </c>
      <c r="D113" s="125">
        <f>SUM(D114:D117)</f>
        <v>2804933</v>
      </c>
      <c r="E113" s="125">
        <f>SUM(E114:E117)</f>
        <v>2323067</v>
      </c>
      <c r="F113" s="125">
        <f t="shared" si="1"/>
        <v>-481866</v>
      </c>
      <c r="G113" s="125">
        <v>3585285.225875</v>
      </c>
      <c r="H113" s="125">
        <f aca="true" t="shared" si="46" ref="H113:U113">SUM(H114:H117)</f>
        <v>59207</v>
      </c>
      <c r="I113" s="125">
        <f t="shared" si="46"/>
        <v>65056</v>
      </c>
      <c r="J113" s="125">
        <f t="shared" si="46"/>
        <v>159709</v>
      </c>
      <c r="K113" s="125">
        <f t="shared" si="46"/>
        <v>1172982</v>
      </c>
      <c r="L113" s="125">
        <f t="shared" si="46"/>
        <v>425061.5</v>
      </c>
      <c r="M113" s="125">
        <f t="shared" si="46"/>
        <v>455061.5</v>
      </c>
      <c r="N113" s="125">
        <f t="shared" si="46"/>
        <v>455061.5</v>
      </c>
      <c r="O113" s="125">
        <f t="shared" si="46"/>
        <v>455061.5</v>
      </c>
      <c r="P113" s="125">
        <f t="shared" si="46"/>
        <v>585061.5</v>
      </c>
      <c r="Q113" s="125">
        <f t="shared" si="46"/>
        <v>455061.5</v>
      </c>
      <c r="R113" s="125">
        <f t="shared" si="46"/>
        <v>455061.5</v>
      </c>
      <c r="S113" s="125">
        <f t="shared" si="46"/>
        <v>684061.5</v>
      </c>
      <c r="T113" s="125">
        <f t="shared" si="46"/>
        <v>5426446</v>
      </c>
      <c r="U113" s="125">
        <f t="shared" si="46"/>
        <v>3591408.37</v>
      </c>
      <c r="V113" s="129">
        <f t="shared" si="43"/>
        <v>154.59770940743422</v>
      </c>
      <c r="W113" s="130">
        <f t="shared" si="44"/>
        <v>47.37627207572373</v>
      </c>
      <c r="X113" s="129">
        <f t="shared" si="45"/>
        <v>154.59770940743422</v>
      </c>
      <c r="Y113" s="486">
        <f t="shared" si="41"/>
        <v>6123.144125000108</v>
      </c>
    </row>
    <row r="114" spans="1:25" ht="15">
      <c r="A114" s="122">
        <v>714100</v>
      </c>
      <c r="B114" s="123"/>
      <c r="C114" s="124" t="s">
        <v>72</v>
      </c>
      <c r="D114" s="189">
        <v>9536</v>
      </c>
      <c r="E114" s="125">
        <v>15577</v>
      </c>
      <c r="F114" s="125">
        <f t="shared" si="1"/>
        <v>6041</v>
      </c>
      <c r="G114" s="125">
        <v>10003.264000000001</v>
      </c>
      <c r="H114" s="125">
        <v>4587</v>
      </c>
      <c r="I114" s="125">
        <v>2856</v>
      </c>
      <c r="J114" s="125">
        <v>1413</v>
      </c>
      <c r="K114" s="125">
        <v>4990</v>
      </c>
      <c r="L114" s="125">
        <f>SUM(H114:K114)/4</f>
        <v>3461.5</v>
      </c>
      <c r="M114" s="125">
        <f aca="true" t="shared" si="47" ref="M114:S114">L114</f>
        <v>3461.5</v>
      </c>
      <c r="N114" s="125">
        <f t="shared" si="47"/>
        <v>3461.5</v>
      </c>
      <c r="O114" s="125">
        <f t="shared" si="47"/>
        <v>3461.5</v>
      </c>
      <c r="P114" s="125">
        <f t="shared" si="47"/>
        <v>3461.5</v>
      </c>
      <c r="Q114" s="125">
        <f t="shared" si="47"/>
        <v>3461.5</v>
      </c>
      <c r="R114" s="125">
        <f t="shared" si="47"/>
        <v>3461.5</v>
      </c>
      <c r="S114" s="125">
        <f t="shared" si="47"/>
        <v>3461.5</v>
      </c>
      <c r="T114" s="125">
        <f t="shared" si="2"/>
        <v>41538</v>
      </c>
      <c r="U114" s="125">
        <v>16340.273000000001</v>
      </c>
      <c r="V114" s="129">
        <f t="shared" si="43"/>
        <v>104.90000000000002</v>
      </c>
      <c r="W114" s="130">
        <f t="shared" si="44"/>
        <v>0</v>
      </c>
      <c r="X114" s="129">
        <f t="shared" si="45"/>
        <v>104.90000000000002</v>
      </c>
      <c r="Y114" s="486">
        <f t="shared" si="41"/>
        <v>6337.009</v>
      </c>
    </row>
    <row r="115" spans="1:25" ht="15">
      <c r="A115" s="122">
        <v>714103</v>
      </c>
      <c r="B115" s="123"/>
      <c r="C115" s="124" t="s">
        <v>73</v>
      </c>
      <c r="D115" s="189">
        <v>2443056</v>
      </c>
      <c r="E115" s="125">
        <v>1863606</v>
      </c>
      <c r="F115" s="125">
        <f aca="true" t="shared" si="48" ref="F115:F178">+E115-D115</f>
        <v>-579450</v>
      </c>
      <c r="G115" s="125">
        <v>1561900</v>
      </c>
      <c r="H115" s="125">
        <v>0</v>
      </c>
      <c r="I115" s="125">
        <v>0</v>
      </c>
      <c r="J115" s="125">
        <v>32940</v>
      </c>
      <c r="K115" s="125">
        <v>240490</v>
      </c>
      <c r="L115" s="125">
        <v>120000</v>
      </c>
      <c r="M115" s="125">
        <f aca="true" t="shared" si="49" ref="M115:R115">L115</f>
        <v>120000</v>
      </c>
      <c r="N115" s="125">
        <f t="shared" si="49"/>
        <v>120000</v>
      </c>
      <c r="O115" s="125">
        <f t="shared" si="49"/>
        <v>120000</v>
      </c>
      <c r="P115" s="125">
        <v>250000</v>
      </c>
      <c r="Q115" s="125">
        <v>120000</v>
      </c>
      <c r="R115" s="125">
        <f t="shared" si="49"/>
        <v>120000</v>
      </c>
      <c r="S115" s="125">
        <v>280000</v>
      </c>
      <c r="T115" s="125">
        <f>SUM(H115:S115)</f>
        <v>1523430</v>
      </c>
      <c r="U115" s="125">
        <v>1561900</v>
      </c>
      <c r="V115" s="129">
        <f t="shared" si="43"/>
        <v>83.81063379276522</v>
      </c>
      <c r="W115" s="130">
        <f t="shared" si="44"/>
        <v>-20.104257585543166</v>
      </c>
      <c r="X115" s="129">
        <f t="shared" si="45"/>
        <v>83.81063379276522</v>
      </c>
      <c r="Y115" s="486">
        <f t="shared" si="41"/>
        <v>0</v>
      </c>
    </row>
    <row r="116" spans="1:25" ht="15">
      <c r="A116" s="566">
        <v>714104</v>
      </c>
      <c r="B116" s="567"/>
      <c r="C116" s="568" t="s">
        <v>74</v>
      </c>
      <c r="D116" s="569">
        <v>339584</v>
      </c>
      <c r="E116" s="181">
        <v>431331</v>
      </c>
      <c r="F116" s="181">
        <f t="shared" si="48"/>
        <v>91747</v>
      </c>
      <c r="G116" s="181">
        <v>2000000</v>
      </c>
      <c r="H116" s="181">
        <v>52865</v>
      </c>
      <c r="I116" s="181">
        <v>62014</v>
      </c>
      <c r="J116" s="181">
        <v>125209</v>
      </c>
      <c r="K116" s="181">
        <v>927190</v>
      </c>
      <c r="L116" s="181">
        <f>261000+40000</f>
        <v>301000</v>
      </c>
      <c r="M116" s="181">
        <f>291000+40000</f>
        <v>331000</v>
      </c>
      <c r="N116" s="181">
        <f aca="true" t="shared" si="50" ref="M116:S117">M116</f>
        <v>331000</v>
      </c>
      <c r="O116" s="181">
        <f t="shared" si="50"/>
        <v>331000</v>
      </c>
      <c r="P116" s="181">
        <f t="shared" si="50"/>
        <v>331000</v>
      </c>
      <c r="Q116" s="181">
        <f t="shared" si="50"/>
        <v>331000</v>
      </c>
      <c r="R116" s="181">
        <f t="shared" si="50"/>
        <v>331000</v>
      </c>
      <c r="S116" s="181">
        <v>400000</v>
      </c>
      <c r="T116" s="181">
        <f>SUM(H116:S116)</f>
        <v>3854278</v>
      </c>
      <c r="U116" s="181">
        <v>2000000</v>
      </c>
      <c r="V116" s="570">
        <f t="shared" si="43"/>
        <v>463.6810245495918</v>
      </c>
      <c r="W116" s="571">
        <f t="shared" si="44"/>
        <v>342.02194904632205</v>
      </c>
      <c r="X116" s="570">
        <f t="shared" si="45"/>
        <v>463.6810245495918</v>
      </c>
      <c r="Y116" s="492">
        <f t="shared" si="41"/>
        <v>0</v>
      </c>
    </row>
    <row r="117" spans="1:25" ht="15">
      <c r="A117" s="122">
        <v>714199</v>
      </c>
      <c r="B117" s="123"/>
      <c r="C117" s="124" t="s">
        <v>75</v>
      </c>
      <c r="D117" s="189">
        <v>12757</v>
      </c>
      <c r="E117" s="125">
        <v>12553</v>
      </c>
      <c r="F117" s="125">
        <f t="shared" si="48"/>
        <v>-204</v>
      </c>
      <c r="G117" s="125">
        <v>13381.961875</v>
      </c>
      <c r="H117" s="125">
        <v>1755</v>
      </c>
      <c r="I117" s="125">
        <v>186</v>
      </c>
      <c r="J117" s="125">
        <v>147</v>
      </c>
      <c r="K117" s="125">
        <v>312</v>
      </c>
      <c r="L117" s="125">
        <v>600</v>
      </c>
      <c r="M117" s="125">
        <f t="shared" si="50"/>
        <v>600</v>
      </c>
      <c r="N117" s="125">
        <f t="shared" si="50"/>
        <v>600</v>
      </c>
      <c r="O117" s="125">
        <f t="shared" si="50"/>
        <v>600</v>
      </c>
      <c r="P117" s="125">
        <f t="shared" si="50"/>
        <v>600</v>
      </c>
      <c r="Q117" s="125">
        <f t="shared" si="50"/>
        <v>600</v>
      </c>
      <c r="R117" s="125">
        <f t="shared" si="50"/>
        <v>600</v>
      </c>
      <c r="S117" s="125">
        <f t="shared" si="50"/>
        <v>600</v>
      </c>
      <c r="T117" s="125">
        <f>SUM(H117:S117)</f>
        <v>7200</v>
      </c>
      <c r="U117" s="125">
        <v>13168.097000000002</v>
      </c>
      <c r="V117" s="129">
        <f t="shared" si="43"/>
        <v>104.90000000000002</v>
      </c>
      <c r="W117" s="130">
        <f t="shared" si="44"/>
        <v>0</v>
      </c>
      <c r="X117" s="129">
        <f t="shared" si="45"/>
        <v>104.90000000000002</v>
      </c>
      <c r="Y117" s="486">
        <f t="shared" si="41"/>
        <v>-213.8648749999993</v>
      </c>
    </row>
    <row r="118" spans="1:25" ht="15">
      <c r="A118" s="122"/>
      <c r="B118" s="123"/>
      <c r="C118" s="124"/>
      <c r="D118" s="189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6"/>
      <c r="X118" s="126"/>
      <c r="Y118" s="486"/>
    </row>
    <row r="119" spans="1:25" ht="15.75">
      <c r="A119" s="131">
        <v>72</v>
      </c>
      <c r="B119" s="132" t="s">
        <v>76</v>
      </c>
      <c r="C119" s="127" t="s">
        <v>77</v>
      </c>
      <c r="D119" s="251">
        <f>+D121+D127</f>
        <v>31644</v>
      </c>
      <c r="E119" s="251">
        <f>+E121+E127</f>
        <v>84012</v>
      </c>
      <c r="F119" s="251">
        <f t="shared" si="48"/>
        <v>52368</v>
      </c>
      <c r="G119" s="251">
        <f aca="true" t="shared" si="51" ref="G119:T119">+G121+G127</f>
        <v>123425.792</v>
      </c>
      <c r="H119" s="251">
        <f t="shared" si="51"/>
        <v>970</v>
      </c>
      <c r="I119" s="251">
        <f t="shared" si="51"/>
        <v>16634</v>
      </c>
      <c r="J119" s="251">
        <f t="shared" si="51"/>
        <v>902</v>
      </c>
      <c r="K119" s="251">
        <f t="shared" si="51"/>
        <v>335423</v>
      </c>
      <c r="L119" s="251">
        <f t="shared" si="51"/>
        <v>1613.75</v>
      </c>
      <c r="M119" s="251">
        <f t="shared" si="51"/>
        <v>1613.75</v>
      </c>
      <c r="N119" s="251">
        <f t="shared" si="51"/>
        <v>1613.75</v>
      </c>
      <c r="O119" s="251">
        <f t="shared" si="51"/>
        <v>1613.75</v>
      </c>
      <c r="P119" s="251">
        <f t="shared" si="51"/>
        <v>1613.75</v>
      </c>
      <c r="Q119" s="251">
        <f t="shared" si="51"/>
        <v>1613.75</v>
      </c>
      <c r="R119" s="251">
        <f t="shared" si="51"/>
        <v>1613.75</v>
      </c>
      <c r="S119" s="251">
        <f t="shared" si="51"/>
        <v>1613.75</v>
      </c>
      <c r="T119" s="251">
        <f t="shared" si="51"/>
        <v>366839</v>
      </c>
      <c r="U119" s="251">
        <v>123426</v>
      </c>
      <c r="V119" s="213">
        <f>+U119/E119*100</f>
        <v>146.91472646764748</v>
      </c>
      <c r="W119" s="214">
        <f>+V119/W$17*100-100</f>
        <v>40.05217013121779</v>
      </c>
      <c r="X119" s="213">
        <f t="shared" si="45"/>
        <v>146.91472646764748</v>
      </c>
      <c r="Y119" s="494">
        <f t="shared" si="41"/>
        <v>0.20799999999871943</v>
      </c>
    </row>
    <row r="120" spans="1:25" ht="16.5" customHeight="1" hidden="1">
      <c r="A120" s="161"/>
      <c r="B120" s="162"/>
      <c r="C120" s="127" t="s">
        <v>78</v>
      </c>
      <c r="D120" s="530"/>
      <c r="E120" s="153"/>
      <c r="F120" s="153">
        <f t="shared" si="48"/>
        <v>0</v>
      </c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43"/>
      <c r="X120" s="143"/>
      <c r="Y120" s="493"/>
    </row>
    <row r="121" spans="1:25" ht="15.75">
      <c r="A121" s="131">
        <v>720</v>
      </c>
      <c r="B121" s="132"/>
      <c r="C121" s="127" t="s">
        <v>79</v>
      </c>
      <c r="D121" s="251">
        <f aca="true" t="shared" si="52" ref="D121:U121">SUM(D122:D125)</f>
        <v>31644</v>
      </c>
      <c r="E121" s="251">
        <f t="shared" si="52"/>
        <v>84012</v>
      </c>
      <c r="F121" s="251">
        <f t="shared" si="48"/>
        <v>52368</v>
      </c>
      <c r="G121" s="251">
        <v>123425.792</v>
      </c>
      <c r="H121" s="251">
        <f t="shared" si="52"/>
        <v>970</v>
      </c>
      <c r="I121" s="251">
        <f t="shared" si="52"/>
        <v>16634</v>
      </c>
      <c r="J121" s="251">
        <f t="shared" si="52"/>
        <v>902</v>
      </c>
      <c r="K121" s="251">
        <f t="shared" si="52"/>
        <v>1649</v>
      </c>
      <c r="L121" s="251">
        <f t="shared" si="52"/>
        <v>1613.75</v>
      </c>
      <c r="M121" s="251">
        <f t="shared" si="52"/>
        <v>1613.75</v>
      </c>
      <c r="N121" s="251">
        <f t="shared" si="52"/>
        <v>1613.75</v>
      </c>
      <c r="O121" s="251">
        <f t="shared" si="52"/>
        <v>1613.75</v>
      </c>
      <c r="P121" s="251">
        <f t="shared" si="52"/>
        <v>1613.75</v>
      </c>
      <c r="Q121" s="251">
        <f t="shared" si="52"/>
        <v>1613.75</v>
      </c>
      <c r="R121" s="251">
        <f t="shared" si="52"/>
        <v>1613.75</v>
      </c>
      <c r="S121" s="251">
        <f t="shared" si="52"/>
        <v>1613.75</v>
      </c>
      <c r="T121" s="251">
        <f t="shared" si="52"/>
        <v>33065</v>
      </c>
      <c r="U121" s="251">
        <f t="shared" si="52"/>
        <v>123426</v>
      </c>
      <c r="V121" s="129">
        <f>+U121/E121*100</f>
        <v>146.91472646764748</v>
      </c>
      <c r="W121" s="130">
        <f>+V121/W$17*100-100</f>
        <v>40.05217013121779</v>
      </c>
      <c r="X121" s="129">
        <f t="shared" si="45"/>
        <v>146.91472646764748</v>
      </c>
      <c r="Y121" s="494">
        <f t="shared" si="41"/>
        <v>0.20799999999871943</v>
      </c>
    </row>
    <row r="122" spans="1:25" ht="15">
      <c r="A122" s="163">
        <v>7200</v>
      </c>
      <c r="B122" s="164"/>
      <c r="C122" s="165" t="s">
        <v>80</v>
      </c>
      <c r="D122" s="125">
        <v>26036</v>
      </c>
      <c r="E122" s="125">
        <v>81743</v>
      </c>
      <c r="F122" s="125">
        <f t="shared" si="48"/>
        <v>55707</v>
      </c>
      <c r="G122" s="125">
        <v>117543</v>
      </c>
      <c r="H122" s="125">
        <v>937</v>
      </c>
      <c r="I122" s="125">
        <v>16634</v>
      </c>
      <c r="J122" s="125">
        <v>899</v>
      </c>
      <c r="K122" s="125">
        <v>1590</v>
      </c>
      <c r="L122" s="125">
        <f aca="true" t="shared" si="53" ref="L122:S122">K122</f>
        <v>1590</v>
      </c>
      <c r="M122" s="125">
        <f t="shared" si="53"/>
        <v>1590</v>
      </c>
      <c r="N122" s="125">
        <f t="shared" si="53"/>
        <v>1590</v>
      </c>
      <c r="O122" s="125">
        <f t="shared" si="53"/>
        <v>1590</v>
      </c>
      <c r="P122" s="125">
        <f t="shared" si="53"/>
        <v>1590</v>
      </c>
      <c r="Q122" s="125">
        <f t="shared" si="53"/>
        <v>1590</v>
      </c>
      <c r="R122" s="125">
        <f t="shared" si="53"/>
        <v>1590</v>
      </c>
      <c r="S122" s="125">
        <f t="shared" si="53"/>
        <v>1590</v>
      </c>
      <c r="T122" s="125">
        <f>SUM(H122:S122)</f>
        <v>32780</v>
      </c>
      <c r="U122" s="125">
        <v>117543</v>
      </c>
      <c r="V122" s="129">
        <f>+U122/E122*100</f>
        <v>143.795799028663</v>
      </c>
      <c r="W122" s="130">
        <f>+V122/W$17*100-100</f>
        <v>37.078931390527146</v>
      </c>
      <c r="X122" s="129">
        <f t="shared" si="45"/>
        <v>143.795799028663</v>
      </c>
      <c r="Y122" s="486">
        <f t="shared" si="41"/>
        <v>0</v>
      </c>
    </row>
    <row r="123" spans="1:25" ht="15">
      <c r="A123" s="163">
        <v>7201</v>
      </c>
      <c r="B123" s="164"/>
      <c r="C123" s="166" t="s">
        <v>81</v>
      </c>
      <c r="D123" s="125">
        <v>4500</v>
      </c>
      <c r="E123" s="125">
        <v>0</v>
      </c>
      <c r="F123" s="125">
        <f t="shared" si="48"/>
        <v>-4500</v>
      </c>
      <c r="G123" s="125">
        <v>4720.5</v>
      </c>
      <c r="H123" s="125">
        <v>0</v>
      </c>
      <c r="I123" s="125">
        <v>0</v>
      </c>
      <c r="J123" s="125">
        <v>0</v>
      </c>
      <c r="K123" s="125">
        <v>0</v>
      </c>
      <c r="L123" s="125">
        <f aca="true" t="shared" si="54" ref="L123:M125">K123</f>
        <v>0</v>
      </c>
      <c r="M123" s="125">
        <f t="shared" si="54"/>
        <v>0</v>
      </c>
      <c r="N123" s="125">
        <f aca="true" t="shared" si="55" ref="N123:O125">M123</f>
        <v>0</v>
      </c>
      <c r="O123" s="125">
        <f t="shared" si="55"/>
        <v>0</v>
      </c>
      <c r="P123" s="125">
        <f aca="true" t="shared" si="56" ref="P123:S125">O123</f>
        <v>0</v>
      </c>
      <c r="Q123" s="125">
        <f t="shared" si="56"/>
        <v>0</v>
      </c>
      <c r="R123" s="125">
        <f t="shared" si="56"/>
        <v>0</v>
      </c>
      <c r="S123" s="125">
        <f t="shared" si="56"/>
        <v>0</v>
      </c>
      <c r="T123" s="125">
        <f>SUM(H123:S123)</f>
        <v>0</v>
      </c>
      <c r="U123" s="125">
        <v>4721</v>
      </c>
      <c r="V123" s="129"/>
      <c r="W123" s="130"/>
      <c r="X123" s="129"/>
      <c r="Y123" s="486">
        <v>0</v>
      </c>
    </row>
    <row r="124" spans="1:25" ht="15">
      <c r="A124" s="163">
        <v>7202</v>
      </c>
      <c r="B124" s="167"/>
      <c r="C124" s="168" t="s">
        <v>82</v>
      </c>
      <c r="D124" s="125">
        <v>1108</v>
      </c>
      <c r="E124" s="125">
        <v>2268</v>
      </c>
      <c r="F124" s="125">
        <f t="shared" si="48"/>
        <v>1160</v>
      </c>
      <c r="G124" s="125">
        <v>1162.2920000000001</v>
      </c>
      <c r="H124" s="125">
        <v>33</v>
      </c>
      <c r="I124" s="125">
        <v>0</v>
      </c>
      <c r="J124" s="125">
        <v>3</v>
      </c>
      <c r="K124" s="125">
        <v>59</v>
      </c>
      <c r="L124" s="125">
        <f>SUM(H124:K124)/4</f>
        <v>23.75</v>
      </c>
      <c r="M124" s="125">
        <f t="shared" si="54"/>
        <v>23.75</v>
      </c>
      <c r="N124" s="125">
        <f t="shared" si="55"/>
        <v>23.75</v>
      </c>
      <c r="O124" s="125">
        <f t="shared" si="55"/>
        <v>23.75</v>
      </c>
      <c r="P124" s="125">
        <f t="shared" si="56"/>
        <v>23.75</v>
      </c>
      <c r="Q124" s="125">
        <f t="shared" si="56"/>
        <v>23.75</v>
      </c>
      <c r="R124" s="125">
        <f t="shared" si="56"/>
        <v>23.75</v>
      </c>
      <c r="S124" s="125">
        <f t="shared" si="56"/>
        <v>23.75</v>
      </c>
      <c r="T124" s="125">
        <f>SUM(H124:S124)</f>
        <v>285</v>
      </c>
      <c r="U124" s="125">
        <v>1162</v>
      </c>
      <c r="V124" s="129">
        <f>+U124/E124*100</f>
        <v>51.23456790123457</v>
      </c>
      <c r="W124" s="130">
        <f>+V124/W$17*100-100</f>
        <v>-51.158657863456085</v>
      </c>
      <c r="X124" s="129">
        <f t="shared" si="45"/>
        <v>51.23456790123457</v>
      </c>
      <c r="Y124" s="486">
        <f t="shared" si="41"/>
        <v>-0.2920000000001437</v>
      </c>
    </row>
    <row r="125" spans="1:25" ht="15">
      <c r="A125" s="163">
        <v>7203</v>
      </c>
      <c r="B125" s="164"/>
      <c r="C125" s="166" t="s">
        <v>83</v>
      </c>
      <c r="D125" s="125"/>
      <c r="E125" s="125">
        <v>1</v>
      </c>
      <c r="F125" s="125">
        <f t="shared" si="48"/>
        <v>1</v>
      </c>
      <c r="G125" s="125"/>
      <c r="H125" s="125">
        <v>0</v>
      </c>
      <c r="I125" s="125">
        <v>0</v>
      </c>
      <c r="J125" s="125">
        <v>0</v>
      </c>
      <c r="K125" s="125">
        <v>0</v>
      </c>
      <c r="L125" s="125">
        <f t="shared" si="54"/>
        <v>0</v>
      </c>
      <c r="M125" s="125">
        <f t="shared" si="54"/>
        <v>0</v>
      </c>
      <c r="N125" s="125">
        <f t="shared" si="55"/>
        <v>0</v>
      </c>
      <c r="O125" s="125">
        <f t="shared" si="55"/>
        <v>0</v>
      </c>
      <c r="P125" s="125">
        <f t="shared" si="56"/>
        <v>0</v>
      </c>
      <c r="Q125" s="125">
        <f t="shared" si="56"/>
        <v>0</v>
      </c>
      <c r="R125" s="125">
        <f t="shared" si="56"/>
        <v>0</v>
      </c>
      <c r="S125" s="125">
        <f t="shared" si="56"/>
        <v>0</v>
      </c>
      <c r="T125" s="125">
        <f>SUM(H125:S125)</f>
        <v>0</v>
      </c>
      <c r="U125" s="125"/>
      <c r="V125" s="125"/>
      <c r="W125" s="130"/>
      <c r="X125" s="130">
        <f t="shared" si="45"/>
        <v>0</v>
      </c>
      <c r="Y125" s="486">
        <f t="shared" si="41"/>
        <v>0</v>
      </c>
    </row>
    <row r="126" spans="1:25" ht="15">
      <c r="A126" s="122"/>
      <c r="B126" s="158"/>
      <c r="C126" s="169"/>
      <c r="D126" s="531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6"/>
      <c r="X126" s="126"/>
      <c r="Y126" s="486"/>
    </row>
    <row r="127" spans="1:25" ht="15.75">
      <c r="A127" s="131">
        <v>722</v>
      </c>
      <c r="B127" s="132"/>
      <c r="C127" s="127" t="s">
        <v>84</v>
      </c>
      <c r="D127" s="556">
        <v>0</v>
      </c>
      <c r="E127" s="125">
        <v>0</v>
      </c>
      <c r="F127" s="125">
        <f t="shared" si="48"/>
        <v>0</v>
      </c>
      <c r="G127" s="125">
        <v>0</v>
      </c>
      <c r="H127" s="125">
        <f>SUM(H128:H130)</f>
        <v>0</v>
      </c>
      <c r="I127" s="125">
        <f aca="true" t="shared" si="57" ref="I127:T127">SUM(I128:I130)</f>
        <v>0</v>
      </c>
      <c r="J127" s="125">
        <f t="shared" si="57"/>
        <v>0</v>
      </c>
      <c r="K127" s="125">
        <f t="shared" si="57"/>
        <v>333774</v>
      </c>
      <c r="L127" s="125">
        <f t="shared" si="57"/>
        <v>0</v>
      </c>
      <c r="M127" s="125">
        <f t="shared" si="57"/>
        <v>0</v>
      </c>
      <c r="N127" s="125">
        <f t="shared" si="57"/>
        <v>0</v>
      </c>
      <c r="O127" s="125">
        <f t="shared" si="57"/>
        <v>0</v>
      </c>
      <c r="P127" s="125">
        <f t="shared" si="57"/>
        <v>0</v>
      </c>
      <c r="Q127" s="125">
        <f t="shared" si="57"/>
        <v>0</v>
      </c>
      <c r="R127" s="125">
        <f t="shared" si="57"/>
        <v>0</v>
      </c>
      <c r="S127" s="125">
        <f t="shared" si="57"/>
        <v>0</v>
      </c>
      <c r="T127" s="125">
        <f t="shared" si="57"/>
        <v>333774</v>
      </c>
      <c r="U127" s="125">
        <v>0</v>
      </c>
      <c r="V127" s="125"/>
      <c r="W127" s="126"/>
      <c r="X127" s="129"/>
      <c r="Y127" s="486">
        <f t="shared" si="41"/>
        <v>0</v>
      </c>
    </row>
    <row r="128" spans="1:25" ht="16.5" customHeight="1" hidden="1">
      <c r="A128" s="122">
        <v>7220</v>
      </c>
      <c r="B128" s="123"/>
      <c r="C128" s="124" t="s">
        <v>85</v>
      </c>
      <c r="D128" s="189"/>
      <c r="E128" s="125"/>
      <c r="F128" s="125">
        <f t="shared" si="48"/>
        <v>0</v>
      </c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>
        <f>SUM(H128:S128)</f>
        <v>0</v>
      </c>
      <c r="U128" s="125"/>
      <c r="V128" s="125"/>
      <c r="W128" s="126"/>
      <c r="X128" s="129"/>
      <c r="Y128" s="486"/>
    </row>
    <row r="129" spans="1:25" ht="16.5" customHeight="1" hidden="1">
      <c r="A129" s="122">
        <v>7221</v>
      </c>
      <c r="B129" s="123"/>
      <c r="C129" s="124" t="s">
        <v>86</v>
      </c>
      <c r="D129" s="189"/>
      <c r="E129" s="125"/>
      <c r="F129" s="125">
        <f t="shared" si="48"/>
        <v>0</v>
      </c>
      <c r="G129" s="125"/>
      <c r="H129" s="125"/>
      <c r="I129" s="125"/>
      <c r="J129" s="125"/>
      <c r="K129" s="125">
        <v>333774</v>
      </c>
      <c r="L129" s="125"/>
      <c r="M129" s="125"/>
      <c r="N129" s="125"/>
      <c r="O129" s="125"/>
      <c r="P129" s="125"/>
      <c r="Q129" s="125"/>
      <c r="R129" s="125"/>
      <c r="S129" s="125"/>
      <c r="T129" s="125">
        <f>SUM(H129:S129)</f>
        <v>333774</v>
      </c>
      <c r="U129" s="125"/>
      <c r="V129" s="125"/>
      <c r="W129" s="126"/>
      <c r="X129" s="129"/>
      <c r="Y129" s="486"/>
    </row>
    <row r="130" spans="1:25" ht="16.5" customHeight="1" hidden="1">
      <c r="A130" s="122">
        <v>7222</v>
      </c>
      <c r="B130" s="123"/>
      <c r="C130" s="124" t="s">
        <v>87</v>
      </c>
      <c r="D130" s="189"/>
      <c r="E130" s="125"/>
      <c r="F130" s="125">
        <f t="shared" si="48"/>
        <v>0</v>
      </c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>
        <f>SUM(H130:S130)</f>
        <v>0</v>
      </c>
      <c r="U130" s="125"/>
      <c r="V130" s="125"/>
      <c r="W130" s="126"/>
      <c r="X130" s="129"/>
      <c r="Y130" s="486"/>
    </row>
    <row r="131" spans="1:25" ht="15">
      <c r="A131" s="122"/>
      <c r="B131" s="123"/>
      <c r="C131" s="124"/>
      <c r="D131" s="189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6"/>
      <c r="X131" s="126"/>
      <c r="Y131" s="486"/>
    </row>
    <row r="132" spans="1:25" ht="15.75">
      <c r="A132" s="131">
        <v>73</v>
      </c>
      <c r="B132" s="132" t="s">
        <v>30</v>
      </c>
      <c r="C132" s="127" t="s">
        <v>88</v>
      </c>
      <c r="D132" s="530">
        <f>+D133</f>
        <v>65970</v>
      </c>
      <c r="E132" s="251">
        <f>+E133</f>
        <v>83026</v>
      </c>
      <c r="F132" s="125">
        <f t="shared" si="48"/>
        <v>17056</v>
      </c>
      <c r="G132" s="125">
        <f>+G133</f>
        <v>0</v>
      </c>
      <c r="H132" s="125">
        <f>+H133</f>
        <v>28000</v>
      </c>
      <c r="I132" s="125">
        <f aca="true" t="shared" si="58" ref="I132:S132">+I133</f>
        <v>0</v>
      </c>
      <c r="J132" s="125">
        <f t="shared" si="58"/>
        <v>0</v>
      </c>
      <c r="K132" s="125">
        <f t="shared" si="58"/>
        <v>1852</v>
      </c>
      <c r="L132" s="125">
        <f t="shared" si="58"/>
        <v>1852</v>
      </c>
      <c r="M132" s="125">
        <f t="shared" si="58"/>
        <v>1852</v>
      </c>
      <c r="N132" s="125">
        <f t="shared" si="58"/>
        <v>1852</v>
      </c>
      <c r="O132" s="125">
        <f t="shared" si="58"/>
        <v>1852</v>
      </c>
      <c r="P132" s="125">
        <f t="shared" si="58"/>
        <v>1852</v>
      </c>
      <c r="Q132" s="125">
        <f t="shared" si="58"/>
        <v>1852</v>
      </c>
      <c r="R132" s="125">
        <f t="shared" si="58"/>
        <v>1852</v>
      </c>
      <c r="S132" s="125">
        <f t="shared" si="58"/>
        <v>1852</v>
      </c>
      <c r="T132" s="125">
        <f>T133</f>
        <v>44668</v>
      </c>
      <c r="U132" s="125">
        <v>0</v>
      </c>
      <c r="V132" s="125"/>
      <c r="W132" s="126"/>
      <c r="X132" s="129">
        <f t="shared" si="45"/>
        <v>0</v>
      </c>
      <c r="Y132" s="486">
        <f t="shared" si="41"/>
        <v>0</v>
      </c>
    </row>
    <row r="133" spans="1:25" ht="15.75">
      <c r="A133" s="417">
        <v>730</v>
      </c>
      <c r="B133" s="132"/>
      <c r="C133" s="124" t="s">
        <v>89</v>
      </c>
      <c r="D133" s="189">
        <v>65970</v>
      </c>
      <c r="E133" s="125">
        <v>83026</v>
      </c>
      <c r="F133" s="125">
        <f t="shared" si="48"/>
        <v>17056</v>
      </c>
      <c r="G133" s="125"/>
      <c r="H133" s="125">
        <v>28000</v>
      </c>
      <c r="I133" s="125">
        <v>0</v>
      </c>
      <c r="J133" s="125">
        <v>0</v>
      </c>
      <c r="K133" s="125">
        <v>1852</v>
      </c>
      <c r="L133" s="125">
        <f aca="true" t="shared" si="59" ref="L133:S133">K133</f>
        <v>1852</v>
      </c>
      <c r="M133" s="125">
        <f t="shared" si="59"/>
        <v>1852</v>
      </c>
      <c r="N133" s="125">
        <f t="shared" si="59"/>
        <v>1852</v>
      </c>
      <c r="O133" s="125">
        <f t="shared" si="59"/>
        <v>1852</v>
      </c>
      <c r="P133" s="125">
        <f t="shared" si="59"/>
        <v>1852</v>
      </c>
      <c r="Q133" s="125">
        <f t="shared" si="59"/>
        <v>1852</v>
      </c>
      <c r="R133" s="125">
        <f t="shared" si="59"/>
        <v>1852</v>
      </c>
      <c r="S133" s="125">
        <f t="shared" si="59"/>
        <v>1852</v>
      </c>
      <c r="T133" s="125">
        <f>SUM(H133:S133)</f>
        <v>44668</v>
      </c>
      <c r="U133" s="125"/>
      <c r="V133" s="125"/>
      <c r="W133" s="126"/>
      <c r="X133" s="129">
        <f t="shared" si="45"/>
        <v>0</v>
      </c>
      <c r="Y133" s="486">
        <f t="shared" si="41"/>
        <v>0</v>
      </c>
    </row>
    <row r="134" spans="1:25" ht="15">
      <c r="A134" s="122"/>
      <c r="B134" s="123"/>
      <c r="C134" s="124"/>
      <c r="D134" s="189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6"/>
      <c r="X134" s="126"/>
      <c r="Y134" s="486"/>
    </row>
    <row r="135" spans="1:25" ht="15.75">
      <c r="A135" s="131">
        <v>74</v>
      </c>
      <c r="B135" s="132" t="s">
        <v>30</v>
      </c>
      <c r="C135" s="127" t="s">
        <v>90</v>
      </c>
      <c r="D135" s="128">
        <f aca="true" t="shared" si="60" ref="D135:S135">D137</f>
        <v>69417976</v>
      </c>
      <c r="E135" s="128">
        <f t="shared" si="60"/>
        <v>69072146</v>
      </c>
      <c r="F135" s="128">
        <f t="shared" si="48"/>
        <v>-345830</v>
      </c>
      <c r="G135" s="128">
        <f>G137</f>
        <v>75321470.469992</v>
      </c>
      <c r="H135" s="128">
        <f t="shared" si="60"/>
        <v>5883399</v>
      </c>
      <c r="I135" s="128">
        <f t="shared" si="60"/>
        <v>6006342</v>
      </c>
      <c r="J135" s="128">
        <f t="shared" si="60"/>
        <v>6129360</v>
      </c>
      <c r="K135" s="128">
        <f t="shared" si="60"/>
        <v>6188267</v>
      </c>
      <c r="L135" s="128">
        <f t="shared" si="60"/>
        <v>6123150.66</v>
      </c>
      <c r="M135" s="128">
        <f t="shared" si="60"/>
        <v>6133569.61632</v>
      </c>
      <c r="N135" s="128">
        <f t="shared" si="60"/>
        <v>6144009.41055264</v>
      </c>
      <c r="O135" s="128">
        <f t="shared" si="60"/>
        <v>6154470.084373746</v>
      </c>
      <c r="P135" s="128">
        <f t="shared" si="60"/>
        <v>6164951.679542494</v>
      </c>
      <c r="Q135" s="128">
        <f t="shared" si="60"/>
        <v>6175454.237901579</v>
      </c>
      <c r="R135" s="128">
        <f t="shared" si="60"/>
        <v>6185977.801377382</v>
      </c>
      <c r="S135" s="128">
        <f t="shared" si="60"/>
        <v>6196522.411980137</v>
      </c>
      <c r="T135" s="251">
        <f>T137</f>
        <v>73485473.90204798</v>
      </c>
      <c r="U135" s="128">
        <f>U137</f>
        <v>75300289.23034601</v>
      </c>
      <c r="V135" s="129">
        <f>+U135/E135*100</f>
        <v>109.01686655333687</v>
      </c>
      <c r="W135" s="130">
        <f>+V135/W$17*100-100</f>
        <v>3.92456296790931</v>
      </c>
      <c r="X135" s="129">
        <f t="shared" si="45"/>
        <v>109.01686655333687</v>
      </c>
      <c r="Y135" s="487">
        <f t="shared" si="41"/>
        <v>-21181.23964598775</v>
      </c>
    </row>
    <row r="136" spans="1:25" ht="15.75" hidden="1">
      <c r="A136" s="133"/>
      <c r="B136" s="134"/>
      <c r="C136" s="118" t="s">
        <v>29</v>
      </c>
      <c r="D136" s="528"/>
      <c r="E136" s="119">
        <v>1.2123663138679726</v>
      </c>
      <c r="F136" s="119">
        <f t="shared" si="48"/>
        <v>1.2123663138679726</v>
      </c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20"/>
      <c r="W136" s="121"/>
      <c r="X136" s="121">
        <f t="shared" si="45"/>
        <v>0</v>
      </c>
      <c r="Y136" s="485">
        <f t="shared" si="41"/>
        <v>0</v>
      </c>
    </row>
    <row r="137" spans="1:25" ht="15.75">
      <c r="A137" s="131">
        <v>740</v>
      </c>
      <c r="B137" s="132"/>
      <c r="C137" s="127" t="s">
        <v>91</v>
      </c>
      <c r="D137" s="128">
        <f aca="true" t="shared" si="61" ref="D137:S137">D139+D153+D157</f>
        <v>69417976</v>
      </c>
      <c r="E137" s="128">
        <f t="shared" si="61"/>
        <v>69072146</v>
      </c>
      <c r="F137" s="128">
        <f t="shared" si="48"/>
        <v>-345830</v>
      </c>
      <c r="G137" s="128">
        <f t="shared" si="61"/>
        <v>75321470.469992</v>
      </c>
      <c r="H137" s="128">
        <f t="shared" si="61"/>
        <v>5883399</v>
      </c>
      <c r="I137" s="128">
        <f t="shared" si="61"/>
        <v>6006342</v>
      </c>
      <c r="J137" s="128">
        <f t="shared" si="61"/>
        <v>6129360</v>
      </c>
      <c r="K137" s="128">
        <f t="shared" si="61"/>
        <v>6188267</v>
      </c>
      <c r="L137" s="128">
        <f t="shared" si="61"/>
        <v>6123150.66</v>
      </c>
      <c r="M137" s="128">
        <f t="shared" si="61"/>
        <v>6133569.61632</v>
      </c>
      <c r="N137" s="128">
        <f t="shared" si="61"/>
        <v>6144009.41055264</v>
      </c>
      <c r="O137" s="128">
        <f t="shared" si="61"/>
        <v>6154470.084373746</v>
      </c>
      <c r="P137" s="128">
        <f t="shared" si="61"/>
        <v>6164951.679542494</v>
      </c>
      <c r="Q137" s="128">
        <f t="shared" si="61"/>
        <v>6175454.237901579</v>
      </c>
      <c r="R137" s="128">
        <f t="shared" si="61"/>
        <v>6185977.801377382</v>
      </c>
      <c r="S137" s="128">
        <f t="shared" si="61"/>
        <v>6196522.411980137</v>
      </c>
      <c r="T137" s="251">
        <f>SUM(H137:S137)</f>
        <v>73485473.90204798</v>
      </c>
      <c r="U137" s="128">
        <f>U139+U153+U157</f>
        <v>75300289.23034601</v>
      </c>
      <c r="V137" s="129">
        <f>+U137/E137*100</f>
        <v>109.01686655333687</v>
      </c>
      <c r="W137" s="130">
        <f>+V137/W$17*100-100</f>
        <v>3.92456296790931</v>
      </c>
      <c r="X137" s="129">
        <f t="shared" si="45"/>
        <v>109.01686655333687</v>
      </c>
      <c r="Y137" s="487">
        <f t="shared" si="41"/>
        <v>-21181.23964598775</v>
      </c>
    </row>
    <row r="138" spans="1:25" ht="15.75" hidden="1">
      <c r="A138" s="133"/>
      <c r="B138" s="134"/>
      <c r="C138" s="118" t="s">
        <v>29</v>
      </c>
      <c r="D138" s="528"/>
      <c r="E138" s="119">
        <v>1.2123663138679726</v>
      </c>
      <c r="F138" s="119">
        <f t="shared" si="48"/>
        <v>1.2123663138679726</v>
      </c>
      <c r="G138" s="119">
        <v>1.2174544266824854</v>
      </c>
      <c r="H138" s="119"/>
      <c r="I138" s="119"/>
      <c r="J138" s="119"/>
      <c r="K138" s="119"/>
      <c r="L138" s="119"/>
      <c r="M138" s="119"/>
      <c r="N138" s="119"/>
      <c r="O138" s="119"/>
      <c r="P138" s="119"/>
      <c r="Q138" s="119"/>
      <c r="R138" s="119"/>
      <c r="S138" s="119"/>
      <c r="T138" s="119"/>
      <c r="U138" s="119">
        <v>1.219146977926327</v>
      </c>
      <c r="V138" s="120"/>
      <c r="W138" s="121"/>
      <c r="X138" s="121">
        <f t="shared" si="45"/>
        <v>100.55929169103366</v>
      </c>
      <c r="Y138" s="485">
        <f t="shared" si="41"/>
        <v>0.0016925512438417112</v>
      </c>
    </row>
    <row r="139" spans="1:25" ht="15.75">
      <c r="A139" s="131">
        <v>7400</v>
      </c>
      <c r="B139" s="123"/>
      <c r="C139" s="127" t="s">
        <v>92</v>
      </c>
      <c r="D139" s="128">
        <f>+D141+D143+D146+D148+D145+D152</f>
        <v>4280274</v>
      </c>
      <c r="E139" s="128">
        <f>+E141+E143+E146+E148+E145+E152</f>
        <v>4236672</v>
      </c>
      <c r="F139" s="128">
        <f t="shared" si="48"/>
        <v>-43602</v>
      </c>
      <c r="G139" s="128">
        <f>+G141+G143+G146+G148+G145</f>
        <v>4233465.060992</v>
      </c>
      <c r="H139" s="128">
        <f>+H141+H143+H146+H148+H145+H152</f>
        <v>324362</v>
      </c>
      <c r="I139" s="128">
        <f>+I141+I143+I146+I148+I145+I152</f>
        <v>335898</v>
      </c>
      <c r="J139" s="128">
        <f>+J141+J143+J146+J148+J145+J152</f>
        <v>339339</v>
      </c>
      <c r="K139" s="128">
        <f aca="true" t="shared" si="62" ref="K139:T139">+K141+K143+K146+K148+K145+K152+K150</f>
        <v>333940</v>
      </c>
      <c r="L139" s="128">
        <f t="shared" si="62"/>
        <v>333940</v>
      </c>
      <c r="M139" s="128">
        <f t="shared" si="62"/>
        <v>333940</v>
      </c>
      <c r="N139" s="128">
        <f t="shared" si="62"/>
        <v>333940</v>
      </c>
      <c r="O139" s="128">
        <f t="shared" si="62"/>
        <v>333940</v>
      </c>
      <c r="P139" s="128">
        <f t="shared" si="62"/>
        <v>333940</v>
      </c>
      <c r="Q139" s="128">
        <f t="shared" si="62"/>
        <v>333940</v>
      </c>
      <c r="R139" s="128">
        <f t="shared" si="62"/>
        <v>333940</v>
      </c>
      <c r="S139" s="128">
        <f t="shared" si="62"/>
        <v>333940</v>
      </c>
      <c r="T139" s="128">
        <f t="shared" si="62"/>
        <v>4005059</v>
      </c>
      <c r="U139" s="128">
        <f>+U141+U143+U146+U148+U145+U152+U150</f>
        <v>4186855.3693460003</v>
      </c>
      <c r="V139" s="129">
        <f>+U139/E139*100</f>
        <v>98.8241565395197</v>
      </c>
      <c r="W139" s="130">
        <f>+V139/W$17*100-100</f>
        <v>-5.792033804080361</v>
      </c>
      <c r="X139" s="129">
        <f t="shared" si="45"/>
        <v>98.8241565395197</v>
      </c>
      <c r="Y139" s="487">
        <f t="shared" si="41"/>
        <v>-46609.69164599944</v>
      </c>
    </row>
    <row r="140" spans="1:25" ht="15.75" hidden="1">
      <c r="A140" s="133"/>
      <c r="B140" s="134"/>
      <c r="C140" s="118" t="s">
        <v>29</v>
      </c>
      <c r="D140" s="528"/>
      <c r="E140" s="119">
        <v>0.0743628034332052</v>
      </c>
      <c r="F140" s="119">
        <f t="shared" si="48"/>
        <v>0.0743628034332052</v>
      </c>
      <c r="G140" s="119">
        <v>0.06842737862856403</v>
      </c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>
        <v>0.06767400545267344</v>
      </c>
      <c r="V140" s="120"/>
      <c r="W140" s="121"/>
      <c r="X140" s="121">
        <f t="shared" si="45"/>
        <v>91.00518314033194</v>
      </c>
      <c r="Y140" s="485">
        <f t="shared" si="41"/>
        <v>-0.0007533731758905954</v>
      </c>
    </row>
    <row r="141" spans="1:25" ht="15">
      <c r="A141" s="136">
        <v>740000</v>
      </c>
      <c r="B141" s="137"/>
      <c r="C141" s="152" t="s">
        <v>93</v>
      </c>
      <c r="D141" s="142"/>
      <c r="E141" s="125"/>
      <c r="F141" s="125"/>
      <c r="G141" s="125">
        <v>0</v>
      </c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>
        <f>SUM(H141:S141)</f>
        <v>0</v>
      </c>
      <c r="U141" s="125">
        <v>0</v>
      </c>
      <c r="V141" s="129" t="s">
        <v>0</v>
      </c>
      <c r="W141" s="130" t="s">
        <v>0</v>
      </c>
      <c r="X141" s="129"/>
      <c r="Y141" s="486">
        <f t="shared" si="41"/>
        <v>0</v>
      </c>
    </row>
    <row r="142" spans="1:25" ht="16.5" customHeight="1">
      <c r="A142" s="136" t="s">
        <v>0</v>
      </c>
      <c r="B142" s="123"/>
      <c r="C142" s="124" t="s">
        <v>94</v>
      </c>
      <c r="D142" s="189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6"/>
      <c r="X142" s="126"/>
      <c r="Y142" s="486"/>
    </row>
    <row r="143" spans="1:25" ht="15">
      <c r="A143" s="136">
        <v>740003</v>
      </c>
      <c r="B143" s="137"/>
      <c r="C143" s="152" t="s">
        <v>95</v>
      </c>
      <c r="D143" s="142">
        <v>159114</v>
      </c>
      <c r="E143" s="125">
        <v>153613</v>
      </c>
      <c r="F143" s="125">
        <f t="shared" si="48"/>
        <v>-5501</v>
      </c>
      <c r="G143" s="125">
        <v>166910.586</v>
      </c>
      <c r="H143" s="125">
        <v>11243</v>
      </c>
      <c r="I143" s="125">
        <v>10978</v>
      </c>
      <c r="J143" s="125">
        <v>10443</v>
      </c>
      <c r="K143" s="125">
        <v>10567</v>
      </c>
      <c r="L143" s="125">
        <f>K143</f>
        <v>10567</v>
      </c>
      <c r="M143" s="125">
        <f>L143</f>
        <v>10567</v>
      </c>
      <c r="N143" s="125">
        <f aca="true" t="shared" si="63" ref="N143:S143">M143</f>
        <v>10567</v>
      </c>
      <c r="O143" s="125">
        <f t="shared" si="63"/>
        <v>10567</v>
      </c>
      <c r="P143" s="125">
        <f t="shared" si="63"/>
        <v>10567</v>
      </c>
      <c r="Q143" s="125">
        <f t="shared" si="63"/>
        <v>10567</v>
      </c>
      <c r="R143" s="125">
        <f t="shared" si="63"/>
        <v>10567</v>
      </c>
      <c r="S143" s="125">
        <f t="shared" si="63"/>
        <v>10567</v>
      </c>
      <c r="T143" s="125">
        <f>SUM(H143:S143)</f>
        <v>127767</v>
      </c>
      <c r="U143" s="125">
        <v>161140.037</v>
      </c>
      <c r="V143" s="129">
        <f>+U143/E143*100</f>
        <v>104.90000000000002</v>
      </c>
      <c r="W143" s="130">
        <f>+V143/W$17*100-100</f>
        <v>0</v>
      </c>
      <c r="X143" s="129">
        <f t="shared" si="45"/>
        <v>104.90000000000002</v>
      </c>
      <c r="Y143" s="486">
        <f t="shared" si="41"/>
        <v>-5770.548999999999</v>
      </c>
    </row>
    <row r="144" spans="1:25" ht="15">
      <c r="A144" s="136"/>
      <c r="B144" s="137"/>
      <c r="C144" s="124" t="s">
        <v>96</v>
      </c>
      <c r="D144" s="189"/>
      <c r="E144" s="125"/>
      <c r="F144" s="125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43"/>
      <c r="X144" s="143"/>
      <c r="Y144" s="493"/>
    </row>
    <row r="145" spans="1:25" ht="15.75">
      <c r="A145" s="136">
        <v>740004</v>
      </c>
      <c r="B145" s="137"/>
      <c r="C145" s="170" t="s">
        <v>100</v>
      </c>
      <c r="D145" s="532">
        <v>224817</v>
      </c>
      <c r="E145" s="125">
        <v>224817</v>
      </c>
      <c r="F145" s="125">
        <f t="shared" si="48"/>
        <v>0</v>
      </c>
      <c r="G145" s="140"/>
      <c r="H145" s="140">
        <v>0</v>
      </c>
      <c r="I145" s="140">
        <v>0</v>
      </c>
      <c r="J145" s="140">
        <v>0</v>
      </c>
      <c r="K145" s="140">
        <v>0</v>
      </c>
      <c r="L145" s="140">
        <f>K145</f>
        <v>0</v>
      </c>
      <c r="M145" s="140">
        <f>L145</f>
        <v>0</v>
      </c>
      <c r="N145" s="140">
        <f aca="true" t="shared" si="64" ref="N145:S145">M145</f>
        <v>0</v>
      </c>
      <c r="O145" s="140">
        <f t="shared" si="64"/>
        <v>0</v>
      </c>
      <c r="P145" s="140">
        <f t="shared" si="64"/>
        <v>0</v>
      </c>
      <c r="Q145" s="140">
        <f t="shared" si="64"/>
        <v>0</v>
      </c>
      <c r="R145" s="140">
        <f t="shared" si="64"/>
        <v>0</v>
      </c>
      <c r="S145" s="140">
        <f t="shared" si="64"/>
        <v>0</v>
      </c>
      <c r="T145" s="125">
        <f>SUM(H145:S145)</f>
        <v>0</v>
      </c>
      <c r="U145" s="140"/>
      <c r="V145" s="153"/>
      <c r="W145" s="143"/>
      <c r="X145" s="129"/>
      <c r="Y145" s="495"/>
    </row>
    <row r="146" spans="1:25" ht="15">
      <c r="A146" s="136">
        <v>740007</v>
      </c>
      <c r="B146" s="137"/>
      <c r="C146" s="152" t="s">
        <v>97</v>
      </c>
      <c r="D146" s="142">
        <v>2345395</v>
      </c>
      <c r="E146" s="125">
        <v>2306310</v>
      </c>
      <c r="F146" s="125">
        <f t="shared" si="48"/>
        <v>-39085</v>
      </c>
      <c r="G146" s="125">
        <v>2509572.65</v>
      </c>
      <c r="H146" s="125">
        <v>186329</v>
      </c>
      <c r="I146" s="125">
        <v>190265</v>
      </c>
      <c r="J146" s="125">
        <v>191836</v>
      </c>
      <c r="K146" s="125">
        <v>193011</v>
      </c>
      <c r="L146" s="125">
        <f>K146</f>
        <v>193011</v>
      </c>
      <c r="M146" s="125">
        <f>L146</f>
        <v>193011</v>
      </c>
      <c r="N146" s="125">
        <f aca="true" t="shared" si="65" ref="N146:S146">M146</f>
        <v>193011</v>
      </c>
      <c r="O146" s="125">
        <f t="shared" si="65"/>
        <v>193011</v>
      </c>
      <c r="P146" s="125">
        <f t="shared" si="65"/>
        <v>193011</v>
      </c>
      <c r="Q146" s="125">
        <f t="shared" si="65"/>
        <v>193011</v>
      </c>
      <c r="R146" s="125">
        <f t="shared" si="65"/>
        <v>193011</v>
      </c>
      <c r="S146" s="125">
        <f t="shared" si="65"/>
        <v>193011</v>
      </c>
      <c r="T146" s="125">
        <f>SUM(H146:S146)</f>
        <v>2305529</v>
      </c>
      <c r="U146" s="125">
        <v>2467751.7</v>
      </c>
      <c r="V146" s="129">
        <f>+U146/E146*100</f>
        <v>107</v>
      </c>
      <c r="W146" s="130">
        <f>+V146/W$17*100-100</f>
        <v>2.0019065776930347</v>
      </c>
      <c r="X146" s="129">
        <f t="shared" si="45"/>
        <v>107</v>
      </c>
      <c r="Y146" s="486">
        <f t="shared" si="41"/>
        <v>-41820.94999999972</v>
      </c>
    </row>
    <row r="147" spans="1:25" ht="15">
      <c r="A147" s="136"/>
      <c r="B147" s="137"/>
      <c r="C147" s="152" t="s">
        <v>98</v>
      </c>
      <c r="D147" s="142"/>
      <c r="E147" s="125"/>
      <c r="F147" s="125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43"/>
      <c r="X147" s="143"/>
      <c r="Y147" s="493"/>
    </row>
    <row r="148" spans="1:25" ht="15">
      <c r="A148" s="136">
        <v>740011</v>
      </c>
      <c r="B148" s="137"/>
      <c r="C148" s="152" t="s">
        <v>97</v>
      </c>
      <c r="D148" s="142">
        <v>1550944</v>
      </c>
      <c r="E148" s="125">
        <v>1551922</v>
      </c>
      <c r="F148" s="125">
        <f t="shared" si="48"/>
        <v>978</v>
      </c>
      <c r="G148" s="125">
        <v>1556981.824992</v>
      </c>
      <c r="H148" s="125">
        <v>126798</v>
      </c>
      <c r="I148" s="125">
        <v>134655</v>
      </c>
      <c r="J148" s="125">
        <v>137060</v>
      </c>
      <c r="K148" s="125">
        <v>128670</v>
      </c>
      <c r="L148" s="125">
        <f>K148</f>
        <v>128670</v>
      </c>
      <c r="M148" s="125">
        <f>L148</f>
        <v>128670</v>
      </c>
      <c r="N148" s="125">
        <f aca="true" t="shared" si="66" ref="N148:S148">M148</f>
        <v>128670</v>
      </c>
      <c r="O148" s="125">
        <f t="shared" si="66"/>
        <v>128670</v>
      </c>
      <c r="P148" s="125">
        <f t="shared" si="66"/>
        <v>128670</v>
      </c>
      <c r="Q148" s="125">
        <f t="shared" si="66"/>
        <v>128670</v>
      </c>
      <c r="R148" s="125">
        <f t="shared" si="66"/>
        <v>128670</v>
      </c>
      <c r="S148" s="125">
        <f t="shared" si="66"/>
        <v>128670</v>
      </c>
      <c r="T148" s="125">
        <f>SUM(H148:S148)</f>
        <v>1556543</v>
      </c>
      <c r="U148" s="125">
        <v>1557963.632346</v>
      </c>
      <c r="V148" s="129">
        <f>+U148/E148*100</f>
        <v>100.38930000000002</v>
      </c>
      <c r="W148" s="130">
        <f>+V148/W$17*100-100</f>
        <v>-4.299999999999983</v>
      </c>
      <c r="X148" s="129">
        <f t="shared" si="45"/>
        <v>100.38930000000002</v>
      </c>
      <c r="Y148" s="486">
        <f t="shared" si="41"/>
        <v>981.8073540001642</v>
      </c>
    </row>
    <row r="149" spans="1:25" ht="15">
      <c r="A149" s="136"/>
      <c r="B149" s="137"/>
      <c r="C149" s="152" t="s">
        <v>99</v>
      </c>
      <c r="D149" s="142"/>
      <c r="E149" s="125"/>
      <c r="F149" s="125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43"/>
      <c r="X149" s="143"/>
      <c r="Y149" s="493"/>
    </row>
    <row r="150" spans="1:25" ht="15">
      <c r="A150" s="136">
        <v>740014</v>
      </c>
      <c r="B150" s="137"/>
      <c r="C150" s="152" t="s">
        <v>97</v>
      </c>
      <c r="D150" s="142"/>
      <c r="E150" s="125"/>
      <c r="F150" s="125"/>
      <c r="G150" s="153"/>
      <c r="H150" s="153"/>
      <c r="I150" s="153"/>
      <c r="J150" s="153"/>
      <c r="K150" s="153">
        <v>1642</v>
      </c>
      <c r="L150" s="153">
        <f aca="true" t="shared" si="67" ref="L150:S150">K150</f>
        <v>1642</v>
      </c>
      <c r="M150" s="153">
        <f t="shared" si="67"/>
        <v>1642</v>
      </c>
      <c r="N150" s="153">
        <f t="shared" si="67"/>
        <v>1642</v>
      </c>
      <c r="O150" s="153">
        <f t="shared" si="67"/>
        <v>1642</v>
      </c>
      <c r="P150" s="153">
        <f t="shared" si="67"/>
        <v>1642</v>
      </c>
      <c r="Q150" s="153">
        <f t="shared" si="67"/>
        <v>1642</v>
      </c>
      <c r="R150" s="153">
        <f t="shared" si="67"/>
        <v>1642</v>
      </c>
      <c r="S150" s="153">
        <f t="shared" si="67"/>
        <v>1642</v>
      </c>
      <c r="T150" s="153">
        <f>SUM(H150:S150)</f>
        <v>14778</v>
      </c>
      <c r="U150" s="153"/>
      <c r="V150" s="153"/>
      <c r="W150" s="143"/>
      <c r="X150" s="129"/>
      <c r="Y150" s="493"/>
    </row>
    <row r="151" spans="1:25" ht="15">
      <c r="A151" s="136"/>
      <c r="B151" s="137"/>
      <c r="C151" s="152" t="s">
        <v>293</v>
      </c>
      <c r="D151" s="142"/>
      <c r="E151" s="125"/>
      <c r="F151" s="125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43"/>
      <c r="X151" s="143"/>
      <c r="Y151" s="493"/>
    </row>
    <row r="152" spans="1:25" ht="15">
      <c r="A152" s="136">
        <v>740015</v>
      </c>
      <c r="B152" s="137"/>
      <c r="C152" s="152" t="s">
        <v>101</v>
      </c>
      <c r="D152" s="142">
        <v>4</v>
      </c>
      <c r="E152" s="125">
        <v>10</v>
      </c>
      <c r="F152" s="125">
        <f t="shared" si="48"/>
        <v>6</v>
      </c>
      <c r="G152" s="153"/>
      <c r="H152" s="153">
        <v>-8</v>
      </c>
      <c r="I152" s="153">
        <v>0</v>
      </c>
      <c r="J152" s="153">
        <v>0</v>
      </c>
      <c r="K152" s="153">
        <v>50</v>
      </c>
      <c r="L152" s="153">
        <f aca="true" t="shared" si="68" ref="L152:S152">K152</f>
        <v>50</v>
      </c>
      <c r="M152" s="153">
        <f t="shared" si="68"/>
        <v>50</v>
      </c>
      <c r="N152" s="153">
        <f t="shared" si="68"/>
        <v>50</v>
      </c>
      <c r="O152" s="153">
        <f t="shared" si="68"/>
        <v>50</v>
      </c>
      <c r="P152" s="153">
        <f t="shared" si="68"/>
        <v>50</v>
      </c>
      <c r="Q152" s="153">
        <f t="shared" si="68"/>
        <v>50</v>
      </c>
      <c r="R152" s="153">
        <f t="shared" si="68"/>
        <v>50</v>
      </c>
      <c r="S152" s="153">
        <f t="shared" si="68"/>
        <v>50</v>
      </c>
      <c r="T152" s="125">
        <f>SUM(H152:S152)</f>
        <v>442</v>
      </c>
      <c r="U152" s="153"/>
      <c r="V152" s="153"/>
      <c r="W152" s="143"/>
      <c r="X152" s="129"/>
      <c r="Y152" s="493"/>
    </row>
    <row r="153" spans="1:25" ht="15.75">
      <c r="A153" s="131">
        <v>7401</v>
      </c>
      <c r="B153" s="123"/>
      <c r="C153" s="127" t="s">
        <v>102</v>
      </c>
      <c r="D153" s="128">
        <f aca="true" t="shared" si="69" ref="D153:U153">D154</f>
        <v>3544001</v>
      </c>
      <c r="E153" s="128">
        <f t="shared" si="69"/>
        <v>3669409</v>
      </c>
      <c r="F153" s="128">
        <f t="shared" si="48"/>
        <v>125408</v>
      </c>
      <c r="G153" s="128">
        <v>3717657.0490000006</v>
      </c>
      <c r="H153" s="128">
        <f t="shared" si="69"/>
        <v>305475</v>
      </c>
      <c r="I153" s="128">
        <f t="shared" si="69"/>
        <v>393912</v>
      </c>
      <c r="J153" s="128">
        <f t="shared" si="69"/>
        <v>327126</v>
      </c>
      <c r="K153" s="128">
        <f t="shared" si="69"/>
        <v>442857</v>
      </c>
      <c r="L153" s="128">
        <f t="shared" si="69"/>
        <v>367342.5</v>
      </c>
      <c r="M153" s="128">
        <f t="shared" si="69"/>
        <v>367342.5</v>
      </c>
      <c r="N153" s="128">
        <f t="shared" si="69"/>
        <v>367342.5</v>
      </c>
      <c r="O153" s="128">
        <f t="shared" si="69"/>
        <v>367342.5</v>
      </c>
      <c r="P153" s="128">
        <f t="shared" si="69"/>
        <v>367342.5</v>
      </c>
      <c r="Q153" s="128">
        <f t="shared" si="69"/>
        <v>367342.5</v>
      </c>
      <c r="R153" s="128">
        <f t="shared" si="69"/>
        <v>367342.5</v>
      </c>
      <c r="S153" s="128">
        <f t="shared" si="69"/>
        <v>367342.5</v>
      </c>
      <c r="T153" s="128">
        <f t="shared" si="69"/>
        <v>4408110</v>
      </c>
      <c r="U153" s="128">
        <f t="shared" si="69"/>
        <v>3849210.041</v>
      </c>
      <c r="V153" s="129">
        <f>+U153/E153*100</f>
        <v>104.90000000000002</v>
      </c>
      <c r="W153" s="130">
        <f>+V153/W$17*100-100</f>
        <v>0</v>
      </c>
      <c r="X153" s="129">
        <f t="shared" si="45"/>
        <v>104.90000000000002</v>
      </c>
      <c r="Y153" s="487">
        <f t="shared" si="41"/>
        <v>131552.99199999962</v>
      </c>
    </row>
    <row r="154" spans="1:25" ht="15">
      <c r="A154" s="136">
        <v>740102</v>
      </c>
      <c r="B154" s="137"/>
      <c r="C154" s="152" t="s">
        <v>310</v>
      </c>
      <c r="D154" s="142">
        <v>3544001</v>
      </c>
      <c r="E154" s="125">
        <v>3669409</v>
      </c>
      <c r="F154" s="125">
        <f t="shared" si="48"/>
        <v>125408</v>
      </c>
      <c r="G154" s="125">
        <v>3717657.0490000006</v>
      </c>
      <c r="H154" s="125">
        <v>305475</v>
      </c>
      <c r="I154" s="125">
        <v>393912</v>
      </c>
      <c r="J154" s="125">
        <v>327126</v>
      </c>
      <c r="K154" s="125">
        <v>442857</v>
      </c>
      <c r="L154" s="125">
        <f>+(H154+I154+J154+K154)/4</f>
        <v>367342.5</v>
      </c>
      <c r="M154" s="125">
        <f aca="true" t="shared" si="70" ref="M154:S154">L154</f>
        <v>367342.5</v>
      </c>
      <c r="N154" s="125">
        <f t="shared" si="70"/>
        <v>367342.5</v>
      </c>
      <c r="O154" s="125">
        <f t="shared" si="70"/>
        <v>367342.5</v>
      </c>
      <c r="P154" s="125">
        <f t="shared" si="70"/>
        <v>367342.5</v>
      </c>
      <c r="Q154" s="125">
        <f t="shared" si="70"/>
        <v>367342.5</v>
      </c>
      <c r="R154" s="125">
        <f t="shared" si="70"/>
        <v>367342.5</v>
      </c>
      <c r="S154" s="125">
        <f t="shared" si="70"/>
        <v>367342.5</v>
      </c>
      <c r="T154" s="125">
        <f>SUM(H154:S154)</f>
        <v>4408110</v>
      </c>
      <c r="U154" s="125">
        <v>3849210.041</v>
      </c>
      <c r="V154" s="129">
        <f>+U154/E154*100</f>
        <v>104.90000000000002</v>
      </c>
      <c r="W154" s="130">
        <f>+V154/W$17*100-100</f>
        <v>0</v>
      </c>
      <c r="X154" s="129">
        <f t="shared" si="45"/>
        <v>104.90000000000002</v>
      </c>
      <c r="Y154" s="486">
        <f t="shared" si="41"/>
        <v>131552.99199999962</v>
      </c>
    </row>
    <row r="155" spans="1:25" ht="15">
      <c r="A155" s="136"/>
      <c r="B155" s="137"/>
      <c r="C155" s="124"/>
      <c r="D155" s="189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43"/>
      <c r="X155" s="143"/>
      <c r="Y155" s="493"/>
    </row>
    <row r="156" spans="1:25" ht="16.5" customHeight="1" hidden="1">
      <c r="A156" s="136"/>
      <c r="B156" s="137"/>
      <c r="C156" s="152"/>
      <c r="D156" s="142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43"/>
      <c r="X156" s="143"/>
      <c r="Y156" s="493"/>
    </row>
    <row r="157" spans="1:25" ht="15.75">
      <c r="A157" s="131">
        <v>7402</v>
      </c>
      <c r="B157" s="123"/>
      <c r="C157" s="127" t="s">
        <v>103</v>
      </c>
      <c r="D157" s="128">
        <f aca="true" t="shared" si="71" ref="D157:U157">+D159+D161+D163</f>
        <v>61593701</v>
      </c>
      <c r="E157" s="128">
        <f t="shared" si="71"/>
        <v>61166065</v>
      </c>
      <c r="F157" s="128">
        <f t="shared" si="48"/>
        <v>-427636</v>
      </c>
      <c r="G157" s="128">
        <f>+G159+G161+G163</f>
        <v>67370348.36</v>
      </c>
      <c r="H157" s="128">
        <f t="shared" si="71"/>
        <v>5253562</v>
      </c>
      <c r="I157" s="128">
        <f t="shared" si="71"/>
        <v>5276532</v>
      </c>
      <c r="J157" s="128">
        <f t="shared" si="71"/>
        <v>5462895</v>
      </c>
      <c r="K157" s="128">
        <f t="shared" si="71"/>
        <v>5411470</v>
      </c>
      <c r="L157" s="128">
        <f t="shared" si="71"/>
        <v>5421868.16</v>
      </c>
      <c r="M157" s="128">
        <f t="shared" si="71"/>
        <v>5432287.11632</v>
      </c>
      <c r="N157" s="128">
        <f t="shared" si="71"/>
        <v>5442726.91055264</v>
      </c>
      <c r="O157" s="128">
        <f t="shared" si="71"/>
        <v>5453187.584373746</v>
      </c>
      <c r="P157" s="128">
        <f t="shared" si="71"/>
        <v>5463669.179542494</v>
      </c>
      <c r="Q157" s="128">
        <f t="shared" si="71"/>
        <v>5474171.737901579</v>
      </c>
      <c r="R157" s="128">
        <f t="shared" si="71"/>
        <v>5484695.301377382</v>
      </c>
      <c r="S157" s="128">
        <f t="shared" si="71"/>
        <v>5495239.911980137</v>
      </c>
      <c r="T157" s="128">
        <f t="shared" si="71"/>
        <v>65072304.90204798</v>
      </c>
      <c r="U157" s="128">
        <f t="shared" si="71"/>
        <v>67264223.82000001</v>
      </c>
      <c r="V157" s="129">
        <f>+U157/E157*100</f>
        <v>109.969840008508</v>
      </c>
      <c r="W157" s="130">
        <f>+V157/W$17*100-100</f>
        <v>4.833021933754054</v>
      </c>
      <c r="X157" s="129">
        <f t="shared" si="45"/>
        <v>109.969840008508</v>
      </c>
      <c r="Y157" s="487">
        <f t="shared" si="41"/>
        <v>-106124.53999999166</v>
      </c>
    </row>
    <row r="158" spans="1:25" ht="15.75" hidden="1">
      <c r="A158" s="133"/>
      <c r="B158" s="134"/>
      <c r="C158" s="118" t="s">
        <v>29</v>
      </c>
      <c r="D158" s="528"/>
      <c r="E158" s="119">
        <v>1.073597405788707</v>
      </c>
      <c r="F158" s="119">
        <f t="shared" si="48"/>
        <v>1.073597405788707</v>
      </c>
      <c r="G158" s="119">
        <v>1.0889369037305232</v>
      </c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20"/>
      <c r="W158" s="121"/>
      <c r="X158" s="121"/>
      <c r="Y158" s="485"/>
    </row>
    <row r="159" spans="1:25" ht="15">
      <c r="A159" s="136">
        <v>740202</v>
      </c>
      <c r="B159" s="137"/>
      <c r="C159" s="152" t="s">
        <v>104</v>
      </c>
      <c r="D159" s="142">
        <v>59296153</v>
      </c>
      <c r="E159" s="125">
        <v>58850039</v>
      </c>
      <c r="F159" s="125">
        <f t="shared" si="48"/>
        <v>-446114</v>
      </c>
      <c r="G159" s="171">
        <v>64911972</v>
      </c>
      <c r="H159" s="171">
        <v>5045982</v>
      </c>
      <c r="I159" s="171">
        <v>5068126</v>
      </c>
      <c r="J159" s="171">
        <v>5250496</v>
      </c>
      <c r="K159" s="171">
        <v>5199080</v>
      </c>
      <c r="L159" s="171">
        <f aca="true" t="shared" si="72" ref="L159:S159">+K159*1.002</f>
        <v>5209478.16</v>
      </c>
      <c r="M159" s="171">
        <f t="shared" si="72"/>
        <v>5219897.11632</v>
      </c>
      <c r="N159" s="171">
        <f t="shared" si="72"/>
        <v>5230336.91055264</v>
      </c>
      <c r="O159" s="171">
        <f t="shared" si="72"/>
        <v>5240797.584373746</v>
      </c>
      <c r="P159" s="171">
        <f t="shared" si="72"/>
        <v>5251279.179542494</v>
      </c>
      <c r="Q159" s="171">
        <f t="shared" si="72"/>
        <v>5261781.737901579</v>
      </c>
      <c r="R159" s="171">
        <f t="shared" si="72"/>
        <v>5272305.301377382</v>
      </c>
      <c r="S159" s="171">
        <f t="shared" si="72"/>
        <v>5282849.911980137</v>
      </c>
      <c r="T159" s="171">
        <f>SUM(H159:S159)</f>
        <v>62532409.90204798</v>
      </c>
      <c r="U159" s="171">
        <f>64911972-125896</f>
        <v>64786076</v>
      </c>
      <c r="V159" s="129">
        <f>+U159/E159*100</f>
        <v>110.0867171897711</v>
      </c>
      <c r="W159" s="130">
        <f>+V159/W$17*100-100</f>
        <v>4.944439647064897</v>
      </c>
      <c r="X159" s="129">
        <f t="shared" si="45"/>
        <v>110.0867171897711</v>
      </c>
      <c r="Y159" s="496">
        <f t="shared" si="41"/>
        <v>-125896</v>
      </c>
    </row>
    <row r="160" spans="1:25" ht="15">
      <c r="A160" s="136" t="s">
        <v>0</v>
      </c>
      <c r="B160" s="123"/>
      <c r="C160" s="124" t="s">
        <v>105</v>
      </c>
      <c r="D160" s="189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6"/>
      <c r="X160" s="129"/>
      <c r="Y160" s="486"/>
    </row>
    <row r="161" spans="1:25" ht="15">
      <c r="A161" s="136">
        <v>740204</v>
      </c>
      <c r="B161" s="137"/>
      <c r="C161" s="152" t="s">
        <v>97</v>
      </c>
      <c r="D161" s="142">
        <v>278798</v>
      </c>
      <c r="E161" s="125">
        <v>277204</v>
      </c>
      <c r="F161" s="125">
        <f t="shared" si="48"/>
        <v>-1594</v>
      </c>
      <c r="G161" s="125">
        <v>298313.86</v>
      </c>
      <c r="H161" s="125">
        <v>26476</v>
      </c>
      <c r="I161" s="125">
        <v>23916</v>
      </c>
      <c r="J161" s="125">
        <v>24093</v>
      </c>
      <c r="K161" s="125">
        <v>26571</v>
      </c>
      <c r="L161" s="125">
        <f>K161</f>
        <v>26571</v>
      </c>
      <c r="M161" s="125">
        <f>L161</f>
        <v>26571</v>
      </c>
      <c r="N161" s="125">
        <f aca="true" t="shared" si="73" ref="N161:S161">M161</f>
        <v>26571</v>
      </c>
      <c r="O161" s="125">
        <f t="shared" si="73"/>
        <v>26571</v>
      </c>
      <c r="P161" s="125">
        <f t="shared" si="73"/>
        <v>26571</v>
      </c>
      <c r="Q161" s="125">
        <f t="shared" si="73"/>
        <v>26571</v>
      </c>
      <c r="R161" s="125">
        <f t="shared" si="73"/>
        <v>26571</v>
      </c>
      <c r="S161" s="125">
        <f t="shared" si="73"/>
        <v>26571</v>
      </c>
      <c r="T161" s="125">
        <f>SUM(H161:S161)</f>
        <v>313624</v>
      </c>
      <c r="U161" s="125">
        <v>296608.28</v>
      </c>
      <c r="V161" s="129">
        <f>+U161/E161*100</f>
        <v>107</v>
      </c>
      <c r="W161" s="130">
        <f>+V161/W$17*100-100</f>
        <v>2.0019065776930347</v>
      </c>
      <c r="X161" s="129">
        <f t="shared" si="45"/>
        <v>107</v>
      </c>
      <c r="Y161" s="486">
        <f t="shared" si="41"/>
        <v>-1705.579999999958</v>
      </c>
    </row>
    <row r="162" spans="1:25" ht="15">
      <c r="A162" s="136"/>
      <c r="B162" s="137"/>
      <c r="C162" s="152" t="s">
        <v>106</v>
      </c>
      <c r="D162" s="142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6"/>
      <c r="X162" s="129"/>
      <c r="Y162" s="486"/>
    </row>
    <row r="163" spans="1:25" ht="15">
      <c r="A163" s="136">
        <v>740207</v>
      </c>
      <c r="B163" s="137"/>
      <c r="C163" s="152" t="s">
        <v>97</v>
      </c>
      <c r="D163" s="142">
        <v>2018750</v>
      </c>
      <c r="E163" s="125">
        <v>2038822</v>
      </c>
      <c r="F163" s="125">
        <f t="shared" si="48"/>
        <v>20072</v>
      </c>
      <c r="G163" s="125">
        <v>2160062.5</v>
      </c>
      <c r="H163" s="125">
        <v>181104</v>
      </c>
      <c r="I163" s="125">
        <v>184490</v>
      </c>
      <c r="J163" s="125">
        <v>188306</v>
      </c>
      <c r="K163" s="125">
        <v>185819</v>
      </c>
      <c r="L163" s="125">
        <f>K163</f>
        <v>185819</v>
      </c>
      <c r="M163" s="125">
        <f>L163</f>
        <v>185819</v>
      </c>
      <c r="N163" s="125">
        <f aca="true" t="shared" si="74" ref="N163:S163">M163</f>
        <v>185819</v>
      </c>
      <c r="O163" s="125">
        <f t="shared" si="74"/>
        <v>185819</v>
      </c>
      <c r="P163" s="125">
        <f t="shared" si="74"/>
        <v>185819</v>
      </c>
      <c r="Q163" s="125">
        <f t="shared" si="74"/>
        <v>185819</v>
      </c>
      <c r="R163" s="125">
        <f t="shared" si="74"/>
        <v>185819</v>
      </c>
      <c r="S163" s="125">
        <f t="shared" si="74"/>
        <v>185819</v>
      </c>
      <c r="T163" s="125">
        <f>SUM(H163:S163)</f>
        <v>2226271</v>
      </c>
      <c r="U163" s="125">
        <v>2181539.54</v>
      </c>
      <c r="V163" s="129">
        <f>+U163/E163*100</f>
        <v>107</v>
      </c>
      <c r="W163" s="130">
        <f>+V163/W$17*100-100</f>
        <v>2.0019065776930347</v>
      </c>
      <c r="X163" s="129">
        <f t="shared" si="45"/>
        <v>107</v>
      </c>
      <c r="Y163" s="486">
        <f t="shared" si="41"/>
        <v>21477.040000000037</v>
      </c>
    </row>
    <row r="164" spans="1:25" ht="15">
      <c r="A164" s="136"/>
      <c r="B164" s="137"/>
      <c r="C164" s="152" t="s">
        <v>107</v>
      </c>
      <c r="D164" s="142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6"/>
      <c r="X164" s="126"/>
      <c r="Y164" s="486"/>
    </row>
    <row r="165" spans="1:25" ht="15">
      <c r="A165" s="428"/>
      <c r="B165" s="173"/>
      <c r="C165" s="427"/>
      <c r="D165" s="533"/>
      <c r="E165" s="175"/>
      <c r="F165" s="175"/>
      <c r="G165" s="175"/>
      <c r="H165" s="175"/>
      <c r="I165" s="175"/>
      <c r="J165" s="175"/>
      <c r="K165" s="175"/>
      <c r="L165" s="175"/>
      <c r="M165" s="175"/>
      <c r="N165" s="175"/>
      <c r="O165" s="175"/>
      <c r="P165" s="175"/>
      <c r="Q165" s="175"/>
      <c r="R165" s="175"/>
      <c r="S165" s="175"/>
      <c r="T165" s="175"/>
      <c r="U165" s="175"/>
      <c r="V165" s="175"/>
      <c r="W165" s="176"/>
      <c r="X165" s="176"/>
      <c r="Y165" s="497"/>
    </row>
    <row r="166" spans="1:25" ht="15">
      <c r="A166" s="172"/>
      <c r="B166" s="173"/>
      <c r="C166" s="174"/>
      <c r="D166" s="534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25"/>
      <c r="U166" s="175"/>
      <c r="V166" s="175"/>
      <c r="W166" s="176"/>
      <c r="X166" s="176"/>
      <c r="Y166" s="497"/>
    </row>
    <row r="167" spans="1:25" ht="15.75">
      <c r="A167" s="177" t="s">
        <v>0</v>
      </c>
      <c r="B167" s="111" t="s">
        <v>108</v>
      </c>
      <c r="C167" s="112" t="s">
        <v>109</v>
      </c>
      <c r="D167" s="113">
        <f aca="true" t="shared" si="75" ref="D167:S167">D170+D204+D309</f>
        <v>383594171</v>
      </c>
      <c r="E167" s="113">
        <f t="shared" si="75"/>
        <v>378869824.99999994</v>
      </c>
      <c r="F167" s="113">
        <f t="shared" si="48"/>
        <v>-4724346.00000006</v>
      </c>
      <c r="G167" s="113">
        <f t="shared" si="75"/>
        <v>410529027.91264886</v>
      </c>
      <c r="H167" s="113">
        <f t="shared" si="75"/>
        <v>30606314</v>
      </c>
      <c r="I167" s="113">
        <f t="shared" si="75"/>
        <v>34708065</v>
      </c>
      <c r="J167" s="113">
        <f t="shared" si="75"/>
        <v>33450782</v>
      </c>
      <c r="K167" s="113">
        <f t="shared" si="75"/>
        <v>33490807</v>
      </c>
      <c r="L167" s="113">
        <f t="shared" si="75"/>
        <v>32558239.149999995</v>
      </c>
      <c r="M167" s="113">
        <f t="shared" si="75"/>
        <v>33711769.91690999</v>
      </c>
      <c r="N167" s="113">
        <f t="shared" si="75"/>
        <v>33426968.363130044</v>
      </c>
      <c r="O167" s="113">
        <f t="shared" si="75"/>
        <v>32336072.798428293</v>
      </c>
      <c r="P167" s="113">
        <f t="shared" si="75"/>
        <v>32378352.54017356</v>
      </c>
      <c r="Q167" s="113">
        <f t="shared" si="75"/>
        <v>34232525.15566552</v>
      </c>
      <c r="R167" s="113">
        <f t="shared" si="75"/>
        <v>33776713.72616644</v>
      </c>
      <c r="S167" s="113">
        <f t="shared" si="75"/>
        <v>42715391.95089986</v>
      </c>
      <c r="T167" s="113">
        <f>SUM(H167:S167)</f>
        <v>407392001.6013737</v>
      </c>
      <c r="U167" s="113">
        <f>U170+U204+U309</f>
        <v>410529027.71799994</v>
      </c>
      <c r="V167" s="114">
        <f>+U167/E167*100</f>
        <v>108.35622174925122</v>
      </c>
      <c r="W167" s="115">
        <f>+V167/W$17*100-100</f>
        <v>3.2947776446627444</v>
      </c>
      <c r="X167" s="115">
        <f t="shared" si="45"/>
        <v>108.35622174925122</v>
      </c>
      <c r="Y167" s="484">
        <f t="shared" si="41"/>
        <v>-0.19464892148971558</v>
      </c>
    </row>
    <row r="168" spans="1:25" ht="15.75" hidden="1">
      <c r="A168" s="116"/>
      <c r="B168" s="117"/>
      <c r="C168" s="118" t="s">
        <v>29</v>
      </c>
      <c r="D168" s="528"/>
      <c r="E168" s="119">
        <v>6.649989029891352</v>
      </c>
      <c r="F168" s="119">
        <f t="shared" si="48"/>
        <v>6.649989029891352</v>
      </c>
      <c r="G168" s="119">
        <v>6.635563258131729</v>
      </c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>
        <f>SUM(H168:S168)</f>
        <v>0</v>
      </c>
      <c r="U168" s="119">
        <v>6.643255385646859</v>
      </c>
      <c r="V168" s="120"/>
      <c r="W168" s="121"/>
      <c r="X168" s="121">
        <f t="shared" si="45"/>
        <v>99.89874202477289</v>
      </c>
      <c r="Y168" s="485"/>
    </row>
    <row r="169" spans="1:25" ht="15">
      <c r="A169" s="122"/>
      <c r="B169" s="123"/>
      <c r="C169" s="124"/>
      <c r="D169" s="189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6"/>
      <c r="X169" s="126"/>
      <c r="Y169" s="486"/>
    </row>
    <row r="170" spans="1:25" ht="15.75">
      <c r="A170" s="131">
        <v>40</v>
      </c>
      <c r="B170" s="132" t="s">
        <v>76</v>
      </c>
      <c r="C170" s="127" t="s">
        <v>110</v>
      </c>
      <c r="D170" s="128">
        <f aca="true" t="shared" si="76" ref="D170:U170">D173+D182+D189+D202</f>
        <v>9945481</v>
      </c>
      <c r="E170" s="128">
        <f t="shared" si="76"/>
        <v>9658751</v>
      </c>
      <c r="F170" s="128">
        <f t="shared" si="48"/>
        <v>-286730</v>
      </c>
      <c r="G170" s="128">
        <f t="shared" si="76"/>
        <v>12095309</v>
      </c>
      <c r="H170" s="128">
        <f t="shared" si="76"/>
        <v>988332</v>
      </c>
      <c r="I170" s="128">
        <f t="shared" si="76"/>
        <v>930847</v>
      </c>
      <c r="J170" s="128">
        <f t="shared" si="76"/>
        <v>647773</v>
      </c>
      <c r="K170" s="128">
        <f t="shared" si="76"/>
        <v>1235454</v>
      </c>
      <c r="L170" s="128">
        <f t="shared" si="76"/>
        <v>841859.25</v>
      </c>
      <c r="M170" s="128">
        <f t="shared" si="76"/>
        <v>846539.3277499999</v>
      </c>
      <c r="N170" s="128">
        <f t="shared" si="76"/>
        <v>1189512.0243887499</v>
      </c>
      <c r="O170" s="128">
        <f t="shared" si="76"/>
        <v>857100.9762911948</v>
      </c>
      <c r="P170" s="128">
        <f t="shared" si="76"/>
        <v>863285.7542200685</v>
      </c>
      <c r="Q170" s="128">
        <f t="shared" si="76"/>
        <v>874474.0864827286</v>
      </c>
      <c r="R170" s="128">
        <f t="shared" si="76"/>
        <v>875665.9837421767</v>
      </c>
      <c r="S170" s="128">
        <f t="shared" si="76"/>
        <v>1326064.4747259188</v>
      </c>
      <c r="T170" s="128">
        <f t="shared" si="76"/>
        <v>11476907.877600837</v>
      </c>
      <c r="U170" s="128">
        <f t="shared" si="76"/>
        <v>11316309</v>
      </c>
      <c r="V170" s="129">
        <f>+U170/E170*100</f>
        <v>117.16120438346532</v>
      </c>
      <c r="W170" s="130">
        <f>+V170/W$17*100-100</f>
        <v>11.688469383665705</v>
      </c>
      <c r="X170" s="129">
        <f t="shared" si="45"/>
        <v>117.16120438346532</v>
      </c>
      <c r="Y170" s="487">
        <f t="shared" si="41"/>
        <v>-779000</v>
      </c>
    </row>
    <row r="171" spans="1:25" ht="15.75" hidden="1">
      <c r="A171" s="116"/>
      <c r="B171" s="117"/>
      <c r="C171" s="118" t="s">
        <v>29</v>
      </c>
      <c r="D171" s="528"/>
      <c r="E171" s="119">
        <v>0.16953207659768663</v>
      </c>
      <c r="F171" s="119">
        <f t="shared" si="48"/>
        <v>0.16953207659768663</v>
      </c>
      <c r="G171" s="119">
        <v>0.19550185879614662</v>
      </c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>
        <f>SUM(H171:S171)</f>
        <v>0</v>
      </c>
      <c r="U171" s="119">
        <v>0.19550185879614662</v>
      </c>
      <c r="V171" s="120"/>
      <c r="W171" s="121"/>
      <c r="X171" s="121">
        <f t="shared" si="45"/>
        <v>115.31850651489887</v>
      </c>
      <c r="Y171" s="485">
        <f t="shared" si="41"/>
        <v>0</v>
      </c>
    </row>
    <row r="172" spans="1:25" ht="15">
      <c r="A172" s="122"/>
      <c r="B172" s="123"/>
      <c r="C172" s="124"/>
      <c r="D172" s="189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6"/>
      <c r="X172" s="126"/>
      <c r="Y172" s="486"/>
    </row>
    <row r="173" spans="1:25" ht="15.75">
      <c r="A173" s="131">
        <v>400</v>
      </c>
      <c r="B173" s="132"/>
      <c r="C173" s="127" t="s">
        <v>111</v>
      </c>
      <c r="D173" s="530">
        <v>4189128</v>
      </c>
      <c r="E173" s="178">
        <v>4098725</v>
      </c>
      <c r="F173" s="178">
        <f t="shared" si="48"/>
        <v>-90403</v>
      </c>
      <c r="G173" s="128">
        <f>SUM(G174:G180)</f>
        <v>4342985</v>
      </c>
      <c r="H173" s="128">
        <v>327364</v>
      </c>
      <c r="I173" s="128">
        <v>327131</v>
      </c>
      <c r="J173" s="128">
        <v>324790</v>
      </c>
      <c r="K173" s="128">
        <v>489440</v>
      </c>
      <c r="L173" s="128">
        <v>350000</v>
      </c>
      <c r="M173" s="128">
        <f aca="true" t="shared" si="77" ref="M173:R173">L173*M30</f>
        <v>350000</v>
      </c>
      <c r="N173" s="128">
        <f t="shared" si="77"/>
        <v>350000</v>
      </c>
      <c r="O173" s="128">
        <f t="shared" si="77"/>
        <v>358749.99999999994</v>
      </c>
      <c r="P173" s="128">
        <f t="shared" si="77"/>
        <v>358749.99999999994</v>
      </c>
      <c r="Q173" s="128">
        <f t="shared" si="77"/>
        <v>358749.99999999994</v>
      </c>
      <c r="R173" s="128">
        <f t="shared" si="77"/>
        <v>358749.99999999994</v>
      </c>
      <c r="S173" s="128">
        <f>R173*S30+30000</f>
        <v>388749.99999999994</v>
      </c>
      <c r="T173" s="128">
        <f>SUM(H173:S173)</f>
        <v>4342475</v>
      </c>
      <c r="U173" s="128">
        <v>4342985</v>
      </c>
      <c r="V173" s="129">
        <f aca="true" t="shared" si="78" ref="V173:V180">+U173/E173*100</f>
        <v>105.95941420807691</v>
      </c>
      <c r="W173" s="130">
        <f aca="true" t="shared" si="79" ref="W173:W180">+V173/W$17*100-100</f>
        <v>1.0099277484050475</v>
      </c>
      <c r="X173" s="129">
        <f t="shared" si="45"/>
        <v>105.95941420807691</v>
      </c>
      <c r="Y173" s="487">
        <f t="shared" si="41"/>
        <v>0</v>
      </c>
    </row>
    <row r="174" spans="1:25" ht="16.5" customHeight="1" hidden="1">
      <c r="A174" s="122">
        <v>4000</v>
      </c>
      <c r="B174" s="123"/>
      <c r="C174" s="124" t="s">
        <v>112</v>
      </c>
      <c r="D174" s="189"/>
      <c r="E174" s="179">
        <v>3653954</v>
      </c>
      <c r="F174" s="179">
        <f t="shared" si="48"/>
        <v>3653954</v>
      </c>
      <c r="G174" s="180">
        <v>3768323</v>
      </c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>
        <f>SUM(H174:S174)</f>
        <v>0</v>
      </c>
      <c r="U174" s="180">
        <v>3768323</v>
      </c>
      <c r="V174" s="129">
        <f t="shared" si="78"/>
        <v>103.13000656275366</v>
      </c>
      <c r="W174" s="130">
        <f t="shared" si="79"/>
        <v>-1.6873150021414034</v>
      </c>
      <c r="X174" s="129">
        <f t="shared" si="45"/>
        <v>103.13000656275366</v>
      </c>
      <c r="Y174" s="498">
        <f aca="true" t="shared" si="80" ref="Y174:Y236">+U174-G174</f>
        <v>0</v>
      </c>
    </row>
    <row r="175" spans="1:25" ht="16.5" customHeight="1" hidden="1">
      <c r="A175" s="122">
        <v>4001</v>
      </c>
      <c r="B175" s="123"/>
      <c r="C175" s="124" t="s">
        <v>113</v>
      </c>
      <c r="D175" s="189"/>
      <c r="E175" s="179">
        <v>127816</v>
      </c>
      <c r="F175" s="179">
        <f t="shared" si="48"/>
        <v>127816</v>
      </c>
      <c r="G175" s="180">
        <v>134079</v>
      </c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>
        <f>SUM(H175:S175)</f>
        <v>0</v>
      </c>
      <c r="U175" s="180">
        <v>134079</v>
      </c>
      <c r="V175" s="129">
        <f t="shared" si="78"/>
        <v>104.90001251799461</v>
      </c>
      <c r="W175" s="130">
        <f t="shared" si="79"/>
        <v>1.1933264644881092E-05</v>
      </c>
      <c r="X175" s="129">
        <f t="shared" si="45"/>
        <v>104.90001251799461</v>
      </c>
      <c r="Y175" s="498">
        <f t="shared" si="80"/>
        <v>0</v>
      </c>
    </row>
    <row r="176" spans="1:25" ht="16.5" customHeight="1" hidden="1">
      <c r="A176" s="122">
        <v>4002</v>
      </c>
      <c r="B176" s="123"/>
      <c r="C176" s="124" t="s">
        <v>114</v>
      </c>
      <c r="D176" s="189"/>
      <c r="E176" s="179">
        <v>302007</v>
      </c>
      <c r="F176" s="179">
        <f t="shared" si="48"/>
        <v>302007</v>
      </c>
      <c r="G176" s="180">
        <v>316806</v>
      </c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>
        <f aca="true" t="shared" si="81" ref="T176:T239">SUM(H176:S176)</f>
        <v>0</v>
      </c>
      <c r="U176" s="180">
        <v>316806</v>
      </c>
      <c r="V176" s="129">
        <f t="shared" si="78"/>
        <v>104.90021754462644</v>
      </c>
      <c r="W176" s="130">
        <f t="shared" si="79"/>
        <v>0.0002073828660087429</v>
      </c>
      <c r="X176" s="129">
        <f aca="true" t="shared" si="82" ref="X176:X239">+U176/E176*100</f>
        <v>104.90021754462644</v>
      </c>
      <c r="Y176" s="498">
        <f t="shared" si="80"/>
        <v>0</v>
      </c>
    </row>
    <row r="177" spans="1:25" ht="16.5" customHeight="1" hidden="1">
      <c r="A177" s="122">
        <v>4003</v>
      </c>
      <c r="B177" s="123"/>
      <c r="C177" s="124" t="s">
        <v>115</v>
      </c>
      <c r="D177" s="189"/>
      <c r="E177" s="179">
        <v>72654</v>
      </c>
      <c r="F177" s="179">
        <f t="shared" si="48"/>
        <v>72654</v>
      </c>
      <c r="G177" s="180">
        <v>74928</v>
      </c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>
        <f t="shared" si="81"/>
        <v>0</v>
      </c>
      <c r="U177" s="180">
        <v>74928</v>
      </c>
      <c r="V177" s="129">
        <f t="shared" si="78"/>
        <v>103.12990337765298</v>
      </c>
      <c r="W177" s="130">
        <f t="shared" si="79"/>
        <v>-1.6874133673470197</v>
      </c>
      <c r="X177" s="129">
        <f t="shared" si="82"/>
        <v>103.12990337765298</v>
      </c>
      <c r="Y177" s="498">
        <f t="shared" si="80"/>
        <v>0</v>
      </c>
    </row>
    <row r="178" spans="1:25" ht="15" hidden="1">
      <c r="A178" s="122">
        <v>4004</v>
      </c>
      <c r="B178" s="123"/>
      <c r="C178" s="124" t="s">
        <v>116</v>
      </c>
      <c r="D178" s="189"/>
      <c r="E178" s="181">
        <v>5751</v>
      </c>
      <c r="F178" s="181">
        <f t="shared" si="48"/>
        <v>5751</v>
      </c>
      <c r="G178" s="182">
        <v>5931</v>
      </c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>
        <f t="shared" si="81"/>
        <v>0</v>
      </c>
      <c r="U178" s="182">
        <v>5931</v>
      </c>
      <c r="V178" s="129">
        <f t="shared" si="78"/>
        <v>103.12989045383412</v>
      </c>
      <c r="W178" s="130">
        <f t="shared" si="79"/>
        <v>-1.68742568747939</v>
      </c>
      <c r="X178" s="129">
        <f t="shared" si="82"/>
        <v>103.12989045383412</v>
      </c>
      <c r="Y178" s="499">
        <f t="shared" si="80"/>
        <v>0</v>
      </c>
    </row>
    <row r="179" spans="1:25" ht="15" hidden="1">
      <c r="A179" s="122">
        <v>4005</v>
      </c>
      <c r="B179" s="123"/>
      <c r="C179" s="124" t="s">
        <v>117</v>
      </c>
      <c r="D179" s="189"/>
      <c r="E179" s="181">
        <v>315</v>
      </c>
      <c r="F179" s="181">
        <f aca="true" t="shared" si="83" ref="F179:F241">+E179-D179</f>
        <v>315</v>
      </c>
      <c r="G179" s="182">
        <v>319</v>
      </c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>
        <f t="shared" si="81"/>
        <v>0</v>
      </c>
      <c r="U179" s="182">
        <v>319</v>
      </c>
      <c r="V179" s="129">
        <f t="shared" si="78"/>
        <v>101.26984126984127</v>
      </c>
      <c r="W179" s="130">
        <f t="shared" si="79"/>
        <v>-3.4605898285593355</v>
      </c>
      <c r="X179" s="129">
        <f t="shared" si="82"/>
        <v>101.26984126984127</v>
      </c>
      <c r="Y179" s="499">
        <f t="shared" si="80"/>
        <v>0</v>
      </c>
    </row>
    <row r="180" spans="1:25" ht="15" hidden="1">
      <c r="A180" s="122">
        <v>4006</v>
      </c>
      <c r="B180" s="123"/>
      <c r="C180" s="124" t="s">
        <v>118</v>
      </c>
      <c r="D180" s="189"/>
      <c r="E180" s="181">
        <v>26630</v>
      </c>
      <c r="F180" s="181">
        <f t="shared" si="83"/>
        <v>26630</v>
      </c>
      <c r="G180" s="125">
        <v>42599</v>
      </c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>
        <f t="shared" si="81"/>
        <v>0</v>
      </c>
      <c r="U180" s="125">
        <v>42599</v>
      </c>
      <c r="V180" s="129">
        <f t="shared" si="78"/>
        <v>159.96620352985354</v>
      </c>
      <c r="W180" s="130">
        <f t="shared" si="79"/>
        <v>52.49399764523693</v>
      </c>
      <c r="X180" s="129">
        <f t="shared" si="82"/>
        <v>159.96620352985354</v>
      </c>
      <c r="Y180" s="486">
        <f t="shared" si="80"/>
        <v>0</v>
      </c>
    </row>
    <row r="181" spans="1:25" ht="15">
      <c r="A181" s="122"/>
      <c r="B181" s="123"/>
      <c r="C181" s="124"/>
      <c r="D181" s="189"/>
      <c r="E181" s="181"/>
      <c r="F181" s="181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29"/>
      <c r="W181" s="126"/>
      <c r="X181" s="126"/>
      <c r="Y181" s="499"/>
    </row>
    <row r="182" spans="1:25" ht="15.75">
      <c r="A182" s="131">
        <v>401</v>
      </c>
      <c r="B182" s="132"/>
      <c r="C182" s="127" t="s">
        <v>119</v>
      </c>
      <c r="D182" s="530">
        <v>598104</v>
      </c>
      <c r="E182" s="178">
        <v>583590</v>
      </c>
      <c r="F182" s="178">
        <f t="shared" si="83"/>
        <v>-14514</v>
      </c>
      <c r="G182" s="128">
        <f>+G183+G184+G185+G186+G187</f>
        <v>734029.0000000001</v>
      </c>
      <c r="H182" s="128">
        <v>48220</v>
      </c>
      <c r="I182" s="128">
        <v>48449</v>
      </c>
      <c r="J182" s="128">
        <v>48333</v>
      </c>
      <c r="K182" s="128">
        <v>104235</v>
      </c>
      <c r="L182" s="128">
        <v>57000</v>
      </c>
      <c r="M182" s="128">
        <f aca="true" t="shared" si="84" ref="M182:R182">L182*M30</f>
        <v>57000</v>
      </c>
      <c r="N182" s="128">
        <f t="shared" si="84"/>
        <v>57000</v>
      </c>
      <c r="O182" s="128">
        <f t="shared" si="84"/>
        <v>58424.99999999999</v>
      </c>
      <c r="P182" s="128">
        <f t="shared" si="84"/>
        <v>58424.99999999999</v>
      </c>
      <c r="Q182" s="128">
        <f t="shared" si="84"/>
        <v>58424.99999999999</v>
      </c>
      <c r="R182" s="128">
        <f t="shared" si="84"/>
        <v>58424.99999999999</v>
      </c>
      <c r="S182" s="128">
        <f>R182*S30+20000</f>
        <v>78425</v>
      </c>
      <c r="T182" s="128">
        <f t="shared" si="81"/>
        <v>732362</v>
      </c>
      <c r="U182" s="128">
        <v>734029</v>
      </c>
      <c r="V182" s="129">
        <f>+U182/E182*100</f>
        <v>125.77820044894533</v>
      </c>
      <c r="W182" s="130">
        <f>+V182/W$17*100-100</f>
        <v>19.902955623398782</v>
      </c>
      <c r="X182" s="129">
        <f t="shared" si="82"/>
        <v>125.77820044894533</v>
      </c>
      <c r="Y182" s="487">
        <f t="shared" si="80"/>
        <v>0</v>
      </c>
    </row>
    <row r="183" spans="1:25" ht="15" hidden="1">
      <c r="A183" s="122">
        <v>4010</v>
      </c>
      <c r="B183" s="123"/>
      <c r="C183" s="124" t="s">
        <v>120</v>
      </c>
      <c r="D183" s="189"/>
      <c r="E183" s="181">
        <v>320806</v>
      </c>
      <c r="F183" s="181">
        <f t="shared" si="83"/>
        <v>320806</v>
      </c>
      <c r="G183" s="125">
        <v>344935.5954</v>
      </c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>
        <f t="shared" si="81"/>
        <v>0</v>
      </c>
      <c r="U183" s="125">
        <v>344935.5954</v>
      </c>
      <c r="V183" s="129">
        <f>+U183/E183*100</f>
        <v>107.52155364924596</v>
      </c>
      <c r="W183" s="130">
        <f>+V183/W$17*100-100</f>
        <v>2.499097854381276</v>
      </c>
      <c r="X183" s="129">
        <f t="shared" si="82"/>
        <v>107.52155364924596</v>
      </c>
      <c r="Y183" s="486">
        <f t="shared" si="80"/>
        <v>0</v>
      </c>
    </row>
    <row r="184" spans="1:25" ht="15" hidden="1">
      <c r="A184" s="122">
        <v>4011</v>
      </c>
      <c r="B184" s="123"/>
      <c r="C184" s="124" t="s">
        <v>121</v>
      </c>
      <c r="D184" s="189"/>
      <c r="E184" s="181">
        <v>257002</v>
      </c>
      <c r="F184" s="181">
        <f t="shared" si="83"/>
        <v>257002</v>
      </c>
      <c r="G184" s="125">
        <v>268524.2427</v>
      </c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>
        <f t="shared" si="81"/>
        <v>0</v>
      </c>
      <c r="U184" s="125">
        <v>268524.2427</v>
      </c>
      <c r="V184" s="129">
        <f>+U184/E184*100</f>
        <v>104.48332802857566</v>
      </c>
      <c r="W184" s="130">
        <f>+V184/W$17*100-100</f>
        <v>-0.3972087430165345</v>
      </c>
      <c r="X184" s="129">
        <f t="shared" si="82"/>
        <v>104.48332802857566</v>
      </c>
      <c r="Y184" s="486">
        <f t="shared" si="80"/>
        <v>0</v>
      </c>
    </row>
    <row r="185" spans="1:25" ht="15" hidden="1">
      <c r="A185" s="122">
        <v>4012</v>
      </c>
      <c r="B185" s="123"/>
      <c r="C185" s="124" t="s">
        <v>122</v>
      </c>
      <c r="D185" s="189"/>
      <c r="E185" s="181">
        <v>2174</v>
      </c>
      <c r="F185" s="181">
        <f t="shared" si="83"/>
        <v>2174</v>
      </c>
      <c r="G185" s="125">
        <v>2354.9322</v>
      </c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>
        <f t="shared" si="81"/>
        <v>0</v>
      </c>
      <c r="U185" s="125">
        <v>2354.9322</v>
      </c>
      <c r="V185" s="129">
        <f>+U185/E185*100</f>
        <v>108.32254829806809</v>
      </c>
      <c r="W185" s="130">
        <f>+V185/W$17*100-100</f>
        <v>3.2626771192260122</v>
      </c>
      <c r="X185" s="129">
        <f t="shared" si="82"/>
        <v>108.32254829806809</v>
      </c>
      <c r="Y185" s="486">
        <f t="shared" si="80"/>
        <v>0</v>
      </c>
    </row>
    <row r="186" spans="1:25" ht="15" hidden="1">
      <c r="A186" s="122">
        <v>4013</v>
      </c>
      <c r="B186" s="123"/>
      <c r="C186" s="124" t="s">
        <v>123</v>
      </c>
      <c r="D186" s="189"/>
      <c r="E186" s="181">
        <v>3608</v>
      </c>
      <c r="F186" s="181">
        <f t="shared" si="83"/>
        <v>3608</v>
      </c>
      <c r="G186" s="183">
        <v>3904.2297</v>
      </c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>
        <f t="shared" si="81"/>
        <v>0</v>
      </c>
      <c r="U186" s="183">
        <v>3904.2297</v>
      </c>
      <c r="V186" s="184">
        <f>+U186/E186*100</f>
        <v>108.21035753880265</v>
      </c>
      <c r="W186" s="185">
        <f>+V186/W$17*100-100</f>
        <v>3.1557269197355993</v>
      </c>
      <c r="X186" s="129">
        <f t="shared" si="82"/>
        <v>108.21035753880265</v>
      </c>
      <c r="Y186" s="500">
        <f t="shared" si="80"/>
        <v>0</v>
      </c>
    </row>
    <row r="187" spans="1:25" ht="15.75" hidden="1">
      <c r="A187" s="122">
        <v>4015</v>
      </c>
      <c r="B187" s="123"/>
      <c r="C187" s="186" t="s">
        <v>124</v>
      </c>
      <c r="D187" s="535"/>
      <c r="E187" s="187"/>
      <c r="F187" s="187">
        <f t="shared" si="83"/>
        <v>0</v>
      </c>
      <c r="G187" s="188">
        <v>114310</v>
      </c>
      <c r="H187" s="188"/>
      <c r="I187" s="188"/>
      <c r="J187" s="188"/>
      <c r="K187" s="188"/>
      <c r="L187" s="188"/>
      <c r="M187" s="188"/>
      <c r="N187" s="188"/>
      <c r="O187" s="188"/>
      <c r="P187" s="188"/>
      <c r="Q187" s="188"/>
      <c r="R187" s="188"/>
      <c r="S187" s="188"/>
      <c r="T187" s="188">
        <f t="shared" si="81"/>
        <v>0</v>
      </c>
      <c r="U187" s="188">
        <v>114310</v>
      </c>
      <c r="V187" s="129"/>
      <c r="W187" s="129"/>
      <c r="X187" s="129" t="e">
        <f t="shared" si="82"/>
        <v>#DIV/0!</v>
      </c>
      <c r="Y187" s="501">
        <f t="shared" si="80"/>
        <v>0</v>
      </c>
    </row>
    <row r="188" spans="1:25" ht="15">
      <c r="A188" s="122"/>
      <c r="B188" s="123"/>
      <c r="C188" s="189"/>
      <c r="D188" s="189"/>
      <c r="E188" s="175"/>
      <c r="F188" s="175"/>
      <c r="G188" s="144"/>
      <c r="H188" s="144"/>
      <c r="I188" s="144"/>
      <c r="J188" s="144"/>
      <c r="K188" s="144"/>
      <c r="L188" s="144"/>
      <c r="M188" s="144"/>
      <c r="N188" s="144"/>
      <c r="O188" s="144"/>
      <c r="P188" s="144"/>
      <c r="Q188" s="144"/>
      <c r="R188" s="144"/>
      <c r="S188" s="144"/>
      <c r="T188" s="144"/>
      <c r="U188" s="144"/>
      <c r="V188" s="144"/>
      <c r="W188" s="190"/>
      <c r="X188" s="190"/>
      <c r="Y188" s="490"/>
    </row>
    <row r="189" spans="1:25" ht="15.75">
      <c r="A189" s="131">
        <v>402</v>
      </c>
      <c r="B189" s="132"/>
      <c r="C189" s="127" t="s">
        <v>125</v>
      </c>
      <c r="D189" s="530">
        <v>4584023</v>
      </c>
      <c r="E189" s="178">
        <v>4398132</v>
      </c>
      <c r="F189" s="178">
        <f t="shared" si="83"/>
        <v>-185891</v>
      </c>
      <c r="G189" s="128">
        <v>4839295</v>
      </c>
      <c r="H189" s="128">
        <v>301237</v>
      </c>
      <c r="I189" s="128">
        <v>534347</v>
      </c>
      <c r="J189" s="128">
        <v>238417</v>
      </c>
      <c r="K189" s="128">
        <v>599436</v>
      </c>
      <c r="L189" s="128">
        <f>SUM(H189:K189)/4-25000</f>
        <v>393359.25</v>
      </c>
      <c r="M189" s="128">
        <f aca="true" t="shared" si="85" ref="M189:S189">L189*M20</f>
        <v>394539.32774999994</v>
      </c>
      <c r="N189" s="128">
        <f t="shared" si="85"/>
        <v>396512.0243887499</v>
      </c>
      <c r="O189" s="128">
        <f t="shared" si="85"/>
        <v>394925.9762911949</v>
      </c>
      <c r="P189" s="128">
        <f t="shared" si="85"/>
        <v>396110.75422006845</v>
      </c>
      <c r="Q189" s="128">
        <f t="shared" si="85"/>
        <v>397299.0864827286</v>
      </c>
      <c r="R189" s="128">
        <f t="shared" si="85"/>
        <v>398490.98374217673</v>
      </c>
      <c r="S189" s="128">
        <f t="shared" si="85"/>
        <v>398889.47472591884</v>
      </c>
      <c r="T189" s="128">
        <f t="shared" si="81"/>
        <v>4843563.8776008375</v>
      </c>
      <c r="U189" s="128">
        <v>4839295</v>
      </c>
      <c r="V189" s="129">
        <f>+U189/E189*100</f>
        <v>110.03069030215555</v>
      </c>
      <c r="W189" s="130">
        <f>+V189/W$17*100-100</f>
        <v>4.891029839995738</v>
      </c>
      <c r="X189" s="129">
        <f t="shared" si="82"/>
        <v>110.03069030215555</v>
      </c>
      <c r="Y189" s="487">
        <f t="shared" si="80"/>
        <v>0</v>
      </c>
    </row>
    <row r="190" spans="1:25" ht="16.5" customHeight="1" hidden="1">
      <c r="A190" s="131"/>
      <c r="B190" s="132"/>
      <c r="C190" s="124" t="s">
        <v>126</v>
      </c>
      <c r="D190" s="189"/>
      <c r="E190" s="125"/>
      <c r="F190" s="125">
        <f t="shared" si="83"/>
        <v>0</v>
      </c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>
        <f t="shared" si="81"/>
        <v>0</v>
      </c>
      <c r="U190" s="125"/>
      <c r="V190" s="125"/>
      <c r="W190" s="126"/>
      <c r="X190" s="126" t="e">
        <f t="shared" si="82"/>
        <v>#DIV/0!</v>
      </c>
      <c r="Y190" s="486">
        <f t="shared" si="80"/>
        <v>0</v>
      </c>
    </row>
    <row r="191" spans="1:25" ht="15" hidden="1">
      <c r="A191" s="191">
        <v>4020</v>
      </c>
      <c r="B191" s="192"/>
      <c r="C191" s="193" t="s">
        <v>127</v>
      </c>
      <c r="D191" s="536"/>
      <c r="E191" s="125"/>
      <c r="F191" s="125">
        <f t="shared" si="83"/>
        <v>0</v>
      </c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>
        <f t="shared" si="81"/>
        <v>0</v>
      </c>
      <c r="U191" s="125"/>
      <c r="V191" s="125"/>
      <c r="W191" s="126"/>
      <c r="X191" s="129" t="e">
        <f t="shared" si="82"/>
        <v>#DIV/0!</v>
      </c>
      <c r="Y191" s="486">
        <f t="shared" si="80"/>
        <v>0</v>
      </c>
    </row>
    <row r="192" spans="1:25" ht="15" hidden="1">
      <c r="A192" s="191">
        <v>4021</v>
      </c>
      <c r="B192" s="192"/>
      <c r="C192" s="194" t="s">
        <v>128</v>
      </c>
      <c r="D192" s="537"/>
      <c r="E192" s="125"/>
      <c r="F192" s="125">
        <f t="shared" si="83"/>
        <v>0</v>
      </c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>
        <f t="shared" si="81"/>
        <v>0</v>
      </c>
      <c r="U192" s="125"/>
      <c r="V192" s="125"/>
      <c r="W192" s="126"/>
      <c r="X192" s="129" t="e">
        <f t="shared" si="82"/>
        <v>#DIV/0!</v>
      </c>
      <c r="Y192" s="486">
        <f t="shared" si="80"/>
        <v>0</v>
      </c>
    </row>
    <row r="193" spans="1:25" ht="15" hidden="1">
      <c r="A193" s="191">
        <v>4022</v>
      </c>
      <c r="B193" s="192"/>
      <c r="C193" s="193" t="s">
        <v>129</v>
      </c>
      <c r="D193" s="536"/>
      <c r="E193" s="125"/>
      <c r="F193" s="125">
        <f t="shared" si="83"/>
        <v>0</v>
      </c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>
        <f t="shared" si="81"/>
        <v>0</v>
      </c>
      <c r="U193" s="125"/>
      <c r="V193" s="125"/>
      <c r="W193" s="126"/>
      <c r="X193" s="129" t="e">
        <f t="shared" si="82"/>
        <v>#DIV/0!</v>
      </c>
      <c r="Y193" s="486">
        <f t="shared" si="80"/>
        <v>0</v>
      </c>
    </row>
    <row r="194" spans="1:25" ht="15" hidden="1">
      <c r="A194" s="191">
        <v>4023</v>
      </c>
      <c r="B194" s="192"/>
      <c r="C194" s="169" t="s">
        <v>130</v>
      </c>
      <c r="D194" s="531"/>
      <c r="E194" s="125"/>
      <c r="F194" s="125">
        <f t="shared" si="83"/>
        <v>0</v>
      </c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>
        <f t="shared" si="81"/>
        <v>0</v>
      </c>
      <c r="U194" s="125"/>
      <c r="V194" s="125"/>
      <c r="W194" s="126"/>
      <c r="X194" s="129" t="e">
        <f t="shared" si="82"/>
        <v>#DIV/0!</v>
      </c>
      <c r="Y194" s="486">
        <f t="shared" si="80"/>
        <v>0</v>
      </c>
    </row>
    <row r="195" spans="1:25" ht="15" hidden="1">
      <c r="A195" s="191">
        <v>4024</v>
      </c>
      <c r="B195" s="192"/>
      <c r="C195" s="195" t="s">
        <v>131</v>
      </c>
      <c r="D195" s="226"/>
      <c r="E195" s="125"/>
      <c r="F195" s="125">
        <f t="shared" si="83"/>
        <v>0</v>
      </c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>
        <f t="shared" si="81"/>
        <v>0</v>
      </c>
      <c r="U195" s="125"/>
      <c r="V195" s="125"/>
      <c r="W195" s="126"/>
      <c r="X195" s="129" t="e">
        <f t="shared" si="82"/>
        <v>#DIV/0!</v>
      </c>
      <c r="Y195" s="486">
        <f t="shared" si="80"/>
        <v>0</v>
      </c>
    </row>
    <row r="196" spans="1:25" ht="15" hidden="1">
      <c r="A196" s="191">
        <v>4025</v>
      </c>
      <c r="B196" s="192"/>
      <c r="C196" s="194" t="s">
        <v>132</v>
      </c>
      <c r="D196" s="537"/>
      <c r="E196" s="125"/>
      <c r="F196" s="125">
        <f t="shared" si="83"/>
        <v>0</v>
      </c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>
        <f t="shared" si="81"/>
        <v>0</v>
      </c>
      <c r="U196" s="125"/>
      <c r="V196" s="125"/>
      <c r="W196" s="126"/>
      <c r="X196" s="129" t="e">
        <f t="shared" si="82"/>
        <v>#DIV/0!</v>
      </c>
      <c r="Y196" s="486">
        <f t="shared" si="80"/>
        <v>0</v>
      </c>
    </row>
    <row r="197" spans="1:25" ht="15" hidden="1">
      <c r="A197" s="191">
        <v>4026</v>
      </c>
      <c r="B197" s="192"/>
      <c r="C197" s="195" t="s">
        <v>133</v>
      </c>
      <c r="D197" s="226"/>
      <c r="E197" s="125"/>
      <c r="F197" s="125">
        <f t="shared" si="83"/>
        <v>0</v>
      </c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>
        <f t="shared" si="81"/>
        <v>0</v>
      </c>
      <c r="U197" s="125"/>
      <c r="V197" s="125"/>
      <c r="W197" s="126"/>
      <c r="X197" s="129" t="e">
        <f t="shared" si="82"/>
        <v>#DIV/0!</v>
      </c>
      <c r="Y197" s="486">
        <f t="shared" si="80"/>
        <v>0</v>
      </c>
    </row>
    <row r="198" spans="1:25" ht="15" hidden="1">
      <c r="A198" s="191">
        <v>4027</v>
      </c>
      <c r="B198" s="192"/>
      <c r="C198" s="194" t="s">
        <v>134</v>
      </c>
      <c r="D198" s="537"/>
      <c r="E198" s="125"/>
      <c r="F198" s="125">
        <f t="shared" si="83"/>
        <v>0</v>
      </c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>
        <f t="shared" si="81"/>
        <v>0</v>
      </c>
      <c r="U198" s="125"/>
      <c r="V198" s="125"/>
      <c r="W198" s="126"/>
      <c r="X198" s="129" t="e">
        <f t="shared" si="82"/>
        <v>#DIV/0!</v>
      </c>
      <c r="Y198" s="486">
        <f t="shared" si="80"/>
        <v>0</v>
      </c>
    </row>
    <row r="199" spans="1:25" ht="15" hidden="1">
      <c r="A199" s="191">
        <v>4028</v>
      </c>
      <c r="B199" s="192"/>
      <c r="C199" s="194" t="s">
        <v>135</v>
      </c>
      <c r="D199" s="537"/>
      <c r="E199" s="125"/>
      <c r="F199" s="125">
        <f t="shared" si="83"/>
        <v>0</v>
      </c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>
        <f t="shared" si="81"/>
        <v>0</v>
      </c>
      <c r="U199" s="125"/>
      <c r="V199" s="125"/>
      <c r="W199" s="126"/>
      <c r="X199" s="129" t="e">
        <f t="shared" si="82"/>
        <v>#DIV/0!</v>
      </c>
      <c r="Y199" s="486">
        <f t="shared" si="80"/>
        <v>0</v>
      </c>
    </row>
    <row r="200" spans="1:25" ht="15" hidden="1">
      <c r="A200" s="191">
        <v>4029</v>
      </c>
      <c r="B200" s="192"/>
      <c r="C200" s="193" t="s">
        <v>136</v>
      </c>
      <c r="D200" s="536"/>
      <c r="E200" s="125"/>
      <c r="F200" s="125">
        <f t="shared" si="83"/>
        <v>0</v>
      </c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>
        <f t="shared" si="81"/>
        <v>0</v>
      </c>
      <c r="U200" s="125"/>
      <c r="V200" s="125"/>
      <c r="W200" s="126"/>
      <c r="X200" s="129" t="e">
        <f t="shared" si="82"/>
        <v>#DIV/0!</v>
      </c>
      <c r="Y200" s="486">
        <f t="shared" si="80"/>
        <v>0</v>
      </c>
    </row>
    <row r="201" spans="1:25" ht="15">
      <c r="A201" s="196"/>
      <c r="B201" s="197"/>
      <c r="C201" s="198"/>
      <c r="D201" s="538"/>
      <c r="E201" s="125"/>
      <c r="F201" s="125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99"/>
      <c r="X201" s="199"/>
      <c r="Y201" s="500"/>
    </row>
    <row r="202" spans="1:27" ht="15.75">
      <c r="A202" s="131">
        <v>403</v>
      </c>
      <c r="B202" s="132"/>
      <c r="C202" s="127" t="s">
        <v>137</v>
      </c>
      <c r="D202" s="539">
        <v>574226</v>
      </c>
      <c r="E202" s="200">
        <v>578304</v>
      </c>
      <c r="F202" s="200">
        <f t="shared" si="83"/>
        <v>4078</v>
      </c>
      <c r="G202" s="178">
        <v>2179000</v>
      </c>
      <c r="H202" s="188">
        <v>311511</v>
      </c>
      <c r="I202" s="188">
        <v>20920</v>
      </c>
      <c r="J202" s="188">
        <v>36233</v>
      </c>
      <c r="K202" s="188">
        <v>42343</v>
      </c>
      <c r="L202" s="188">
        <v>41500</v>
      </c>
      <c r="M202" s="188">
        <v>45000</v>
      </c>
      <c r="N202" s="188">
        <f>M202+341000</f>
        <v>386000</v>
      </c>
      <c r="O202" s="188">
        <v>45000</v>
      </c>
      <c r="P202" s="188">
        <v>50000</v>
      </c>
      <c r="Q202" s="188">
        <v>60000</v>
      </c>
      <c r="R202" s="188">
        <v>60000</v>
      </c>
      <c r="S202" s="188">
        <v>460000</v>
      </c>
      <c r="T202" s="188">
        <f t="shared" si="81"/>
        <v>1558507</v>
      </c>
      <c r="U202" s="178">
        <v>1400000</v>
      </c>
      <c r="V202" s="129">
        <f>+U202/E202*100</f>
        <v>242.08720672864098</v>
      </c>
      <c r="W202" s="125"/>
      <c r="X202" s="129">
        <f t="shared" si="82"/>
        <v>242.08720672864098</v>
      </c>
      <c r="Y202" s="502">
        <f t="shared" si="80"/>
        <v>-779000</v>
      </c>
      <c r="Z202" s="23">
        <v>779000</v>
      </c>
      <c r="AA202" s="1" t="s">
        <v>321</v>
      </c>
    </row>
    <row r="203" spans="1:27" ht="16.5" customHeight="1">
      <c r="A203" s="122"/>
      <c r="B203" s="123"/>
      <c r="C203" s="124"/>
      <c r="D203" s="189"/>
      <c r="E203" s="125"/>
      <c r="F203" s="125"/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90"/>
      <c r="X203" s="190"/>
      <c r="Y203" s="490"/>
      <c r="Z203" s="23">
        <v>762000</v>
      </c>
      <c r="AA203" s="1" t="s">
        <v>319</v>
      </c>
    </row>
    <row r="204" spans="1:27" ht="20.25" customHeight="1">
      <c r="A204" s="131">
        <v>41</v>
      </c>
      <c r="B204" s="132"/>
      <c r="C204" s="127" t="s">
        <v>138</v>
      </c>
      <c r="D204" s="128">
        <f aca="true" t="shared" si="86" ref="D204:U204">D207+D212+D233+D236+D302</f>
        <v>372525613</v>
      </c>
      <c r="E204" s="128">
        <f t="shared" si="86"/>
        <v>368155293.99999994</v>
      </c>
      <c r="F204" s="128">
        <f t="shared" si="83"/>
        <v>-4370319.00000006</v>
      </c>
      <c r="G204" s="128">
        <f t="shared" si="86"/>
        <v>397255611.13964885</v>
      </c>
      <c r="H204" s="128">
        <f t="shared" si="86"/>
        <v>29615025</v>
      </c>
      <c r="I204" s="128">
        <f t="shared" si="86"/>
        <v>33767065</v>
      </c>
      <c r="J204" s="128">
        <f t="shared" si="86"/>
        <v>32793438</v>
      </c>
      <c r="K204" s="128">
        <f t="shared" si="86"/>
        <v>32214698</v>
      </c>
      <c r="L204" s="128">
        <f t="shared" si="86"/>
        <v>31675724.899999995</v>
      </c>
      <c r="M204" s="128">
        <f t="shared" si="86"/>
        <v>32765230.589159995</v>
      </c>
      <c r="N204" s="128">
        <f t="shared" si="86"/>
        <v>32187456.338741295</v>
      </c>
      <c r="O204" s="128">
        <f t="shared" si="86"/>
        <v>31428971.8221371</v>
      </c>
      <c r="P204" s="128">
        <f t="shared" si="86"/>
        <v>31425066.785953492</v>
      </c>
      <c r="Q204" s="128">
        <f t="shared" si="86"/>
        <v>33238051.069182787</v>
      </c>
      <c r="R204" s="128">
        <f t="shared" si="86"/>
        <v>32751047.74242427</v>
      </c>
      <c r="S204" s="128">
        <f t="shared" si="86"/>
        <v>40879327.476173945</v>
      </c>
      <c r="T204" s="128">
        <f t="shared" si="86"/>
        <v>394741102.7237728</v>
      </c>
      <c r="U204" s="128">
        <f t="shared" si="86"/>
        <v>398017610.71799994</v>
      </c>
      <c r="V204" s="129">
        <f>+U204/E204*100</f>
        <v>108.1113370375709</v>
      </c>
      <c r="W204" s="130">
        <f>+V204/W$17*100-100</f>
        <v>3.0613317803344984</v>
      </c>
      <c r="X204" s="129">
        <f t="shared" si="82"/>
        <v>108.1113370375709</v>
      </c>
      <c r="Y204" s="487">
        <f t="shared" si="80"/>
        <v>761999.5783510804</v>
      </c>
      <c r="Z204" s="23">
        <v>17000</v>
      </c>
      <c r="AA204" s="1" t="s">
        <v>320</v>
      </c>
    </row>
    <row r="205" spans="1:26" ht="15.75">
      <c r="A205" s="116"/>
      <c r="B205" s="117"/>
      <c r="C205" s="118"/>
      <c r="D205" s="52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20"/>
      <c r="W205" s="121"/>
      <c r="X205" s="121"/>
      <c r="Y205" s="485"/>
      <c r="Z205" s="23">
        <f>+Z204+Z203</f>
        <v>779000</v>
      </c>
    </row>
    <row r="206" spans="1:26" ht="15">
      <c r="A206" s="122"/>
      <c r="B206" s="123"/>
      <c r="C206" s="124"/>
      <c r="D206" s="189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6"/>
      <c r="X206" s="126"/>
      <c r="Y206" s="486"/>
      <c r="Z206" s="23"/>
    </row>
    <row r="207" spans="1:25" ht="15.75" hidden="1">
      <c r="A207" s="131">
        <v>410</v>
      </c>
      <c r="B207" s="132"/>
      <c r="C207" s="127" t="s">
        <v>139</v>
      </c>
      <c r="D207" s="530"/>
      <c r="E207" s="125">
        <v>0</v>
      </c>
      <c r="F207" s="125">
        <f t="shared" si="83"/>
        <v>0</v>
      </c>
      <c r="G207" s="125">
        <v>0</v>
      </c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>
        <f t="shared" si="81"/>
        <v>0</v>
      </c>
      <c r="U207" s="125">
        <v>0</v>
      </c>
      <c r="V207" s="125"/>
      <c r="W207" s="126"/>
      <c r="X207" s="129" t="e">
        <f t="shared" si="82"/>
        <v>#DIV/0!</v>
      </c>
      <c r="Y207" s="486">
        <f t="shared" si="80"/>
        <v>0</v>
      </c>
    </row>
    <row r="208" spans="1:25" ht="16.5" customHeight="1" hidden="1">
      <c r="A208" s="122">
        <v>4100</v>
      </c>
      <c r="B208" s="123"/>
      <c r="C208" s="124" t="s">
        <v>140</v>
      </c>
      <c r="D208" s="189"/>
      <c r="E208" s="125">
        <v>0</v>
      </c>
      <c r="F208" s="125">
        <f t="shared" si="83"/>
        <v>0</v>
      </c>
      <c r="G208" s="125">
        <v>0</v>
      </c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>
        <f t="shared" si="81"/>
        <v>0</v>
      </c>
      <c r="U208" s="125">
        <v>0</v>
      </c>
      <c r="V208" s="125"/>
      <c r="W208" s="126"/>
      <c r="X208" s="129" t="e">
        <f t="shared" si="82"/>
        <v>#DIV/0!</v>
      </c>
      <c r="Y208" s="486">
        <f t="shared" si="80"/>
        <v>0</v>
      </c>
    </row>
    <row r="209" spans="1:25" ht="16.5" customHeight="1" hidden="1">
      <c r="A209" s="122">
        <v>4101</v>
      </c>
      <c r="B209" s="123"/>
      <c r="C209" s="124" t="s">
        <v>141</v>
      </c>
      <c r="D209" s="189"/>
      <c r="E209" s="125">
        <v>0</v>
      </c>
      <c r="F209" s="125">
        <f t="shared" si="83"/>
        <v>0</v>
      </c>
      <c r="G209" s="125">
        <v>0</v>
      </c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>
        <f t="shared" si="81"/>
        <v>0</v>
      </c>
      <c r="U209" s="125">
        <v>0</v>
      </c>
      <c r="V209" s="125"/>
      <c r="W209" s="126"/>
      <c r="X209" s="129" t="e">
        <f t="shared" si="82"/>
        <v>#DIV/0!</v>
      </c>
      <c r="Y209" s="486">
        <f t="shared" si="80"/>
        <v>0</v>
      </c>
    </row>
    <row r="210" spans="1:25" ht="16.5" customHeight="1" hidden="1">
      <c r="A210" s="122">
        <v>4102</v>
      </c>
      <c r="B210" s="123"/>
      <c r="C210" s="124" t="s">
        <v>142</v>
      </c>
      <c r="D210" s="189"/>
      <c r="E210" s="125">
        <v>0</v>
      </c>
      <c r="F210" s="125">
        <f t="shared" si="83"/>
        <v>0</v>
      </c>
      <c r="G210" s="125">
        <v>0</v>
      </c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>
        <f t="shared" si="81"/>
        <v>0</v>
      </c>
      <c r="U210" s="125">
        <v>0</v>
      </c>
      <c r="V210" s="125"/>
      <c r="W210" s="126"/>
      <c r="X210" s="129" t="e">
        <f t="shared" si="82"/>
        <v>#DIV/0!</v>
      </c>
      <c r="Y210" s="486">
        <f t="shared" si="80"/>
        <v>0</v>
      </c>
    </row>
    <row r="211" spans="1:25" ht="15" hidden="1">
      <c r="A211" s="122"/>
      <c r="B211" s="123"/>
      <c r="C211" s="124"/>
      <c r="D211" s="189"/>
      <c r="E211" s="125"/>
      <c r="F211" s="125">
        <f t="shared" si="83"/>
        <v>0</v>
      </c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>
        <f t="shared" si="81"/>
        <v>0</v>
      </c>
      <c r="U211" s="125"/>
      <c r="V211" s="125"/>
      <c r="W211" s="126"/>
      <c r="X211" s="129" t="e">
        <f t="shared" si="82"/>
        <v>#DIV/0!</v>
      </c>
      <c r="Y211" s="486">
        <f t="shared" si="80"/>
        <v>0</v>
      </c>
    </row>
    <row r="212" spans="1:25" ht="15.75">
      <c r="A212" s="131">
        <v>411</v>
      </c>
      <c r="B212" s="132"/>
      <c r="C212" s="127" t="s">
        <v>143</v>
      </c>
      <c r="D212" s="128">
        <f aca="true" t="shared" si="87" ref="D212:U212">D215+D225+D227</f>
        <v>42014157</v>
      </c>
      <c r="E212" s="128">
        <f t="shared" si="87"/>
        <v>40055169</v>
      </c>
      <c r="F212" s="128">
        <f t="shared" si="83"/>
        <v>-1958988</v>
      </c>
      <c r="G212" s="128">
        <f>G215+G225+G227</f>
        <v>45536615.536033995</v>
      </c>
      <c r="H212" s="128">
        <f t="shared" si="87"/>
        <v>3066920</v>
      </c>
      <c r="I212" s="128">
        <f t="shared" si="87"/>
        <v>3436773</v>
      </c>
      <c r="J212" s="128">
        <f t="shared" si="87"/>
        <v>4263367</v>
      </c>
      <c r="K212" s="128">
        <f t="shared" si="87"/>
        <v>3644928</v>
      </c>
      <c r="L212" s="128">
        <f t="shared" si="87"/>
        <v>3373796.6</v>
      </c>
      <c r="M212" s="128">
        <f t="shared" si="87"/>
        <v>3651547.857875</v>
      </c>
      <c r="N212" s="128">
        <f t="shared" si="87"/>
        <v>3329806.6686968757</v>
      </c>
      <c r="O212" s="128">
        <f t="shared" si="87"/>
        <v>3267222.41390586</v>
      </c>
      <c r="P212" s="128">
        <f t="shared" si="87"/>
        <v>3558213.4457466695</v>
      </c>
      <c r="Q212" s="128">
        <f t="shared" si="87"/>
        <v>3963580.762480707</v>
      </c>
      <c r="R212" s="128">
        <f t="shared" si="87"/>
        <v>3296295.1325622625</v>
      </c>
      <c r="S212" s="128">
        <f t="shared" si="87"/>
        <v>4237028.40409666</v>
      </c>
      <c r="T212" s="128">
        <f t="shared" si="87"/>
        <v>43089479.28536403</v>
      </c>
      <c r="U212" s="128">
        <f t="shared" si="87"/>
        <v>43436145.821</v>
      </c>
      <c r="V212" s="129">
        <f>+U212/E212*100</f>
        <v>108.44080028972041</v>
      </c>
      <c r="W212" s="130">
        <f>+V212/W$17*100-100</f>
        <v>3.375405423947015</v>
      </c>
      <c r="X212" s="129">
        <f t="shared" si="82"/>
        <v>108.44080028972041</v>
      </c>
      <c r="Y212" s="487">
        <f t="shared" si="80"/>
        <v>-2100469.715033993</v>
      </c>
    </row>
    <row r="213" spans="1:25" ht="15.75">
      <c r="A213" s="116"/>
      <c r="B213" s="117"/>
      <c r="C213" s="118"/>
      <c r="D213" s="52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20"/>
      <c r="W213" s="121"/>
      <c r="X213" s="121"/>
      <c r="Y213" s="485"/>
    </row>
    <row r="214" spans="1:25" ht="15" hidden="1">
      <c r="A214" s="136"/>
      <c r="B214" s="137"/>
      <c r="C214" s="152"/>
      <c r="D214" s="142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43"/>
      <c r="X214" s="143"/>
      <c r="Y214" s="493"/>
    </row>
    <row r="215" spans="1:25" ht="15.75">
      <c r="A215" s="131">
        <v>4116</v>
      </c>
      <c r="B215" s="132"/>
      <c r="C215" s="461" t="s">
        <v>144</v>
      </c>
      <c r="D215" s="128">
        <f aca="true" t="shared" si="88" ref="D215:U215">+D217+D221</f>
        <v>38990950</v>
      </c>
      <c r="E215" s="128">
        <f t="shared" si="88"/>
        <v>37241290</v>
      </c>
      <c r="F215" s="128">
        <f t="shared" si="83"/>
        <v>-1749660</v>
      </c>
      <c r="G215" s="128">
        <f>+G217+G221</f>
        <v>42365271.567168</v>
      </c>
      <c r="H215" s="128">
        <f t="shared" si="88"/>
        <v>2858288</v>
      </c>
      <c r="I215" s="128">
        <f t="shared" si="88"/>
        <v>3168930</v>
      </c>
      <c r="J215" s="128">
        <f t="shared" si="88"/>
        <v>3976522</v>
      </c>
      <c r="K215" s="128">
        <f t="shared" si="88"/>
        <v>3382164</v>
      </c>
      <c r="L215" s="128">
        <f t="shared" si="88"/>
        <v>3128501.7</v>
      </c>
      <c r="M215" s="128">
        <f t="shared" si="88"/>
        <v>3442940.737875</v>
      </c>
      <c r="N215" s="128">
        <f t="shared" si="88"/>
        <v>3121199.5486968756</v>
      </c>
      <c r="O215" s="128">
        <f t="shared" si="88"/>
        <v>3058615.29390586</v>
      </c>
      <c r="P215" s="128">
        <f t="shared" si="88"/>
        <v>3343736.2809466696</v>
      </c>
      <c r="Q215" s="128">
        <f t="shared" si="88"/>
        <v>3710948.3064807067</v>
      </c>
      <c r="R215" s="128">
        <f t="shared" si="88"/>
        <v>3081817.9677622626</v>
      </c>
      <c r="S215" s="128">
        <f t="shared" si="88"/>
        <v>3999658.0645766603</v>
      </c>
      <c r="T215" s="128">
        <f t="shared" si="88"/>
        <v>40273321.900244035</v>
      </c>
      <c r="U215" s="128">
        <f t="shared" si="88"/>
        <v>40484386.75</v>
      </c>
      <c r="V215" s="129">
        <f>+U215/E215*100</f>
        <v>108.70833623110263</v>
      </c>
      <c r="W215" s="130">
        <f>+V215/W$17*100-100</f>
        <v>3.6304444529100266</v>
      </c>
      <c r="X215" s="129">
        <f t="shared" si="82"/>
        <v>108.70833623110263</v>
      </c>
      <c r="Y215" s="487">
        <f t="shared" si="80"/>
        <v>-1880884.8171679974</v>
      </c>
    </row>
    <row r="216" spans="1:25" ht="18" customHeight="1">
      <c r="A216" s="116"/>
      <c r="B216" s="117"/>
      <c r="C216" s="518"/>
      <c r="D216" s="540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20"/>
      <c r="W216" s="121"/>
      <c r="X216" s="121"/>
      <c r="Y216" s="485"/>
    </row>
    <row r="217" spans="1:25" ht="15.75">
      <c r="A217" s="136">
        <v>411600</v>
      </c>
      <c r="B217" s="162"/>
      <c r="C217" s="519" t="s">
        <v>145</v>
      </c>
      <c r="D217" s="201">
        <f aca="true" t="shared" si="89" ref="D217:U217">+D218+D219</f>
        <v>27289160</v>
      </c>
      <c r="E217" s="201">
        <f t="shared" si="89"/>
        <v>25847795</v>
      </c>
      <c r="F217" s="201">
        <f t="shared" si="83"/>
        <v>-1441365</v>
      </c>
      <c r="G217" s="201">
        <v>29305847.071517594</v>
      </c>
      <c r="H217" s="201">
        <f t="shared" si="89"/>
        <v>1986804</v>
      </c>
      <c r="I217" s="201">
        <f t="shared" si="89"/>
        <v>2206268</v>
      </c>
      <c r="J217" s="201">
        <f t="shared" si="89"/>
        <v>2708156</v>
      </c>
      <c r="K217" s="201">
        <f t="shared" si="89"/>
        <v>2327829</v>
      </c>
      <c r="L217" s="201">
        <f t="shared" si="89"/>
        <v>2153241.825</v>
      </c>
      <c r="M217" s="201">
        <f t="shared" si="89"/>
        <v>2540825.3535</v>
      </c>
      <c r="N217" s="201">
        <f t="shared" si="89"/>
        <v>2286742.81815</v>
      </c>
      <c r="O217" s="201">
        <f t="shared" si="89"/>
        <v>2286742.81815</v>
      </c>
      <c r="P217" s="201">
        <f t="shared" si="89"/>
        <v>2629754.2408724995</v>
      </c>
      <c r="Q217" s="201">
        <f t="shared" si="89"/>
        <v>3050514.9194120993</v>
      </c>
      <c r="R217" s="201">
        <f t="shared" si="89"/>
        <v>2470917.084723801</v>
      </c>
      <c r="S217" s="201">
        <f t="shared" si="89"/>
        <v>3434574.747766083</v>
      </c>
      <c r="T217" s="201">
        <f t="shared" si="89"/>
        <v>30082370.807574484</v>
      </c>
      <c r="U217" s="201">
        <f t="shared" si="89"/>
        <v>27756379.625</v>
      </c>
      <c r="V217" s="202">
        <f>+U217/E217*100</f>
        <v>107.38393594115088</v>
      </c>
      <c r="W217" s="203">
        <f>+V217/W$17*100-100</f>
        <v>2.367908428170523</v>
      </c>
      <c r="X217" s="129">
        <f t="shared" si="82"/>
        <v>107.38393594115088</v>
      </c>
      <c r="Y217" s="503">
        <f t="shared" si="80"/>
        <v>-1549467.4465175942</v>
      </c>
    </row>
    <row r="218" spans="1:25" ht="15.75">
      <c r="A218" s="136"/>
      <c r="B218" s="162"/>
      <c r="C218" s="520" t="s">
        <v>146</v>
      </c>
      <c r="D218" s="153">
        <v>23252276</v>
      </c>
      <c r="E218" s="181">
        <v>22542791</v>
      </c>
      <c r="F218" s="181">
        <f t="shared" si="83"/>
        <v>-709485</v>
      </c>
      <c r="G218" s="125">
        <v>24966197.119301595</v>
      </c>
      <c r="H218" s="125">
        <v>1741088</v>
      </c>
      <c r="I218" s="125">
        <v>1925518</v>
      </c>
      <c r="J218" s="125">
        <v>2346836</v>
      </c>
      <c r="K218" s="125">
        <v>2029808</v>
      </c>
      <c r="L218" s="125">
        <f aca="true" t="shared" si="90" ref="L218:S218">K218*L38</f>
        <v>1877572.4000000001</v>
      </c>
      <c r="M218" s="125">
        <f t="shared" si="90"/>
        <v>2215535.432</v>
      </c>
      <c r="N218" s="125">
        <f t="shared" si="90"/>
        <v>1993981.8888</v>
      </c>
      <c r="O218" s="125">
        <f t="shared" si="90"/>
        <v>1993981.8888</v>
      </c>
      <c r="P218" s="125">
        <f t="shared" si="90"/>
        <v>2293079.17212</v>
      </c>
      <c r="Q218" s="125">
        <f t="shared" si="90"/>
        <v>2659971.8396591996</v>
      </c>
      <c r="R218" s="125">
        <f t="shared" si="90"/>
        <v>2154577.190123952</v>
      </c>
      <c r="S218" s="125">
        <f t="shared" si="90"/>
        <v>2994862.294272293</v>
      </c>
      <c r="T218" s="125">
        <f t="shared" si="81"/>
        <v>26226812.105775446</v>
      </c>
      <c r="U218" s="125">
        <v>24203500.325</v>
      </c>
      <c r="V218" s="129">
        <f>+U218/E218*100</f>
        <v>107.36691976162136</v>
      </c>
      <c r="W218" s="130">
        <f>+V218/W$17*100-100</f>
        <v>2.351687094014636</v>
      </c>
      <c r="X218" s="129">
        <f t="shared" si="82"/>
        <v>107.36691976162136</v>
      </c>
      <c r="Y218" s="486">
        <f t="shared" si="80"/>
        <v>-762696.7943015955</v>
      </c>
    </row>
    <row r="219" spans="1:25" ht="15.75">
      <c r="A219" s="136"/>
      <c r="B219" s="162"/>
      <c r="C219" s="520" t="s">
        <v>147</v>
      </c>
      <c r="D219" s="541">
        <v>4036884</v>
      </c>
      <c r="E219" s="204">
        <v>3305004</v>
      </c>
      <c r="F219" s="204">
        <f t="shared" si="83"/>
        <v>-731880</v>
      </c>
      <c r="G219" s="183">
        <v>4339649.952216</v>
      </c>
      <c r="H219" s="183">
        <v>245716</v>
      </c>
      <c r="I219" s="183">
        <v>280750</v>
      </c>
      <c r="J219" s="183">
        <v>361320</v>
      </c>
      <c r="K219" s="183">
        <v>298021</v>
      </c>
      <c r="L219" s="125">
        <f aca="true" t="shared" si="91" ref="L219:S219">K219*L38</f>
        <v>275669.425</v>
      </c>
      <c r="M219" s="183">
        <f t="shared" si="91"/>
        <v>325289.9215</v>
      </c>
      <c r="N219" s="183">
        <f t="shared" si="91"/>
        <v>292760.92935</v>
      </c>
      <c r="O219" s="183">
        <f t="shared" si="91"/>
        <v>292760.92935</v>
      </c>
      <c r="P219" s="183">
        <f t="shared" si="91"/>
        <v>336675.06875249994</v>
      </c>
      <c r="Q219" s="183">
        <f t="shared" si="91"/>
        <v>390543.0797528999</v>
      </c>
      <c r="R219" s="183">
        <f t="shared" si="91"/>
        <v>316339.89459984895</v>
      </c>
      <c r="S219" s="183">
        <f t="shared" si="91"/>
        <v>439712.45349379</v>
      </c>
      <c r="T219" s="183">
        <f t="shared" si="81"/>
        <v>3855558.701799038</v>
      </c>
      <c r="U219" s="183">
        <v>3552879.3</v>
      </c>
      <c r="V219" s="184">
        <f>+U219/E219*100</f>
        <v>107.5</v>
      </c>
      <c r="W219" s="185">
        <f>+V219/W$17*100-100</f>
        <v>2.4785510009532885</v>
      </c>
      <c r="X219" s="129">
        <f t="shared" si="82"/>
        <v>107.5</v>
      </c>
      <c r="Y219" s="500">
        <f t="shared" si="80"/>
        <v>-786770.6522160005</v>
      </c>
    </row>
    <row r="220" spans="1:25" ht="15.75">
      <c r="A220" s="136"/>
      <c r="B220" s="162"/>
      <c r="C220" s="462"/>
      <c r="D220" s="140"/>
      <c r="E220" s="171"/>
      <c r="F220" s="171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  <c r="R220" s="205"/>
      <c r="S220" s="205"/>
      <c r="T220" s="205">
        <f t="shared" si="81"/>
        <v>0</v>
      </c>
      <c r="U220" s="205"/>
      <c r="V220" s="129"/>
      <c r="W220" s="129"/>
      <c r="X220" s="129"/>
      <c r="Y220" s="504"/>
    </row>
    <row r="221" spans="1:25" ht="15.75">
      <c r="A221" s="136">
        <v>411699</v>
      </c>
      <c r="B221" s="132"/>
      <c r="C221" s="461" t="s">
        <v>148</v>
      </c>
      <c r="D221" s="206">
        <f aca="true" t="shared" si="92" ref="D221:U221">+D222+D223</f>
        <v>11701790</v>
      </c>
      <c r="E221" s="206">
        <f t="shared" si="92"/>
        <v>11393495</v>
      </c>
      <c r="F221" s="206">
        <f t="shared" si="83"/>
        <v>-308295</v>
      </c>
      <c r="G221" s="206">
        <v>13059424.495650401</v>
      </c>
      <c r="H221" s="206">
        <f t="shared" si="92"/>
        <v>871484</v>
      </c>
      <c r="I221" s="206">
        <f t="shared" si="92"/>
        <v>962662</v>
      </c>
      <c r="J221" s="206">
        <f t="shared" si="92"/>
        <v>1268366</v>
      </c>
      <c r="K221" s="206">
        <f t="shared" si="92"/>
        <v>1054335</v>
      </c>
      <c r="L221" s="206">
        <f t="shared" si="92"/>
        <v>975259.8750000001</v>
      </c>
      <c r="M221" s="206">
        <f t="shared" si="92"/>
        <v>902115.384375</v>
      </c>
      <c r="N221" s="206">
        <f t="shared" si="92"/>
        <v>834456.7305468752</v>
      </c>
      <c r="O221" s="206">
        <f t="shared" si="92"/>
        <v>771872.4757558594</v>
      </c>
      <c r="P221" s="206">
        <f t="shared" si="92"/>
        <v>713982.04007417</v>
      </c>
      <c r="Q221" s="206">
        <f t="shared" si="92"/>
        <v>660433.3870686074</v>
      </c>
      <c r="R221" s="206">
        <f t="shared" si="92"/>
        <v>610900.8830384618</v>
      </c>
      <c r="S221" s="206">
        <f t="shared" si="92"/>
        <v>565083.3168105772</v>
      </c>
      <c r="T221" s="206">
        <f t="shared" si="92"/>
        <v>10190951.092669552</v>
      </c>
      <c r="U221" s="206">
        <f t="shared" si="92"/>
        <v>12728007.125</v>
      </c>
      <c r="V221" s="207">
        <f>+U221/E221*100</f>
        <v>111.71293027293206</v>
      </c>
      <c r="W221" s="208">
        <f>+V221/W$17*100-100</f>
        <v>6.494690441307952</v>
      </c>
      <c r="X221" s="129">
        <f t="shared" si="82"/>
        <v>111.71293027293206</v>
      </c>
      <c r="Y221" s="505">
        <f t="shared" si="80"/>
        <v>-331417.37065040134</v>
      </c>
    </row>
    <row r="222" spans="1:25" ht="15.75">
      <c r="A222" s="136"/>
      <c r="B222" s="132"/>
      <c r="C222" s="520" t="s">
        <v>146</v>
      </c>
      <c r="D222" s="153">
        <v>10956866</v>
      </c>
      <c r="E222" s="181">
        <v>10120932</v>
      </c>
      <c r="F222" s="181">
        <f t="shared" si="83"/>
        <v>-835934</v>
      </c>
      <c r="G222" s="125">
        <v>12258631.463058801</v>
      </c>
      <c r="H222" s="125">
        <v>776873</v>
      </c>
      <c r="I222" s="125">
        <v>854562</v>
      </c>
      <c r="J222" s="125">
        <v>1129243</v>
      </c>
      <c r="K222" s="125">
        <v>939584</v>
      </c>
      <c r="L222" s="125">
        <f>K222*L38</f>
        <v>869115.2000000001</v>
      </c>
      <c r="M222" s="125">
        <f>L222*L38</f>
        <v>803931.56</v>
      </c>
      <c r="N222" s="125">
        <f>M222*L38</f>
        <v>743636.6930000001</v>
      </c>
      <c r="O222" s="125">
        <f>N222*L38</f>
        <v>687863.9410250001</v>
      </c>
      <c r="P222" s="125">
        <f>O222*L38</f>
        <v>636274.1454481251</v>
      </c>
      <c r="Q222" s="125">
        <f>P222*L38</f>
        <v>588553.5845395158</v>
      </c>
      <c r="R222" s="125">
        <f>Q222*L38</f>
        <v>544412.0656990521</v>
      </c>
      <c r="S222" s="125">
        <f>R222*L38</f>
        <v>503581.1607716232</v>
      </c>
      <c r="T222" s="125">
        <f t="shared" si="81"/>
        <v>9077630.350483317</v>
      </c>
      <c r="U222" s="125">
        <v>11360001.9</v>
      </c>
      <c r="V222" s="129">
        <f>+U222/E222*100</f>
        <v>112.24264623060407</v>
      </c>
      <c r="W222" s="130">
        <f>+V222/W$17*100-100</f>
        <v>6.999662755580616</v>
      </c>
      <c r="X222" s="129">
        <f t="shared" si="82"/>
        <v>112.24264623060407</v>
      </c>
      <c r="Y222" s="486">
        <f t="shared" si="80"/>
        <v>-898629.563058801</v>
      </c>
    </row>
    <row r="223" spans="1:25" ht="15.75">
      <c r="A223" s="136"/>
      <c r="B223" s="132"/>
      <c r="C223" s="520" t="s">
        <v>147</v>
      </c>
      <c r="D223" s="541">
        <v>744924</v>
      </c>
      <c r="E223" s="204">
        <v>1272563</v>
      </c>
      <c r="F223" s="204">
        <f t="shared" si="83"/>
        <v>527639</v>
      </c>
      <c r="G223" s="183">
        <v>800793.0325916001</v>
      </c>
      <c r="H223" s="183">
        <v>94611</v>
      </c>
      <c r="I223" s="183">
        <v>108100</v>
      </c>
      <c r="J223" s="183">
        <v>139123</v>
      </c>
      <c r="K223" s="183">
        <v>114751</v>
      </c>
      <c r="L223" s="183">
        <f>K223*L38</f>
        <v>106144.675</v>
      </c>
      <c r="M223" s="183">
        <f>L223*L38</f>
        <v>98183.82437500001</v>
      </c>
      <c r="N223" s="183">
        <f>M223*L38</f>
        <v>90820.03754687501</v>
      </c>
      <c r="O223" s="183">
        <f>N223*L38</f>
        <v>84008.53473085939</v>
      </c>
      <c r="P223" s="183">
        <f>O223*L38</f>
        <v>77707.89462604494</v>
      </c>
      <c r="Q223" s="183">
        <f>P223*L38</f>
        <v>71879.80252909158</v>
      </c>
      <c r="R223" s="183">
        <f>Q223*L38</f>
        <v>66488.81733940971</v>
      </c>
      <c r="S223" s="183">
        <f>R223*L38</f>
        <v>61502.15603895399</v>
      </c>
      <c r="T223" s="183">
        <f t="shared" si="81"/>
        <v>1113320.7421862346</v>
      </c>
      <c r="U223" s="183">
        <v>1368005.225</v>
      </c>
      <c r="V223" s="184">
        <f>+U223/E223*100</f>
        <v>107.50000000000001</v>
      </c>
      <c r="W223" s="185">
        <f>+V223/W$17*100-100</f>
        <v>2.4785510009532885</v>
      </c>
      <c r="X223" s="129">
        <f t="shared" si="82"/>
        <v>107.50000000000001</v>
      </c>
      <c r="Y223" s="500">
        <f t="shared" si="80"/>
        <v>567212.1924084</v>
      </c>
    </row>
    <row r="224" spans="1:25" ht="15.75">
      <c r="A224" s="136"/>
      <c r="B224" s="132"/>
      <c r="C224" s="521"/>
      <c r="D224" s="188"/>
      <c r="E224" s="125"/>
      <c r="F224" s="125"/>
      <c r="G224" s="188"/>
      <c r="H224" s="188"/>
      <c r="I224" s="188"/>
      <c r="J224" s="188"/>
      <c r="K224" s="188"/>
      <c r="L224" s="188"/>
      <c r="M224" s="188"/>
      <c r="N224" s="188"/>
      <c r="O224" s="188"/>
      <c r="P224" s="188"/>
      <c r="Q224" s="188"/>
      <c r="R224" s="188"/>
      <c r="S224" s="188"/>
      <c r="T224" s="188">
        <f t="shared" si="81"/>
        <v>0</v>
      </c>
      <c r="U224" s="188"/>
      <c r="V224" s="125"/>
      <c r="W224" s="125"/>
      <c r="X224" s="125"/>
      <c r="Y224" s="501"/>
    </row>
    <row r="225" spans="1:25" ht="15" hidden="1">
      <c r="A225" s="122">
        <v>4117</v>
      </c>
      <c r="B225" s="123"/>
      <c r="C225" s="194" t="s">
        <v>149</v>
      </c>
      <c r="D225" s="144">
        <v>0</v>
      </c>
      <c r="E225" s="144">
        <v>0</v>
      </c>
      <c r="F225" s="144">
        <f t="shared" si="83"/>
        <v>0</v>
      </c>
      <c r="G225" s="144">
        <v>0</v>
      </c>
      <c r="H225" s="144">
        <v>0</v>
      </c>
      <c r="I225" s="144">
        <v>0</v>
      </c>
      <c r="J225" s="144">
        <v>0</v>
      </c>
      <c r="K225" s="144">
        <v>0</v>
      </c>
      <c r="L225" s="144">
        <v>0</v>
      </c>
      <c r="M225" s="144">
        <v>0</v>
      </c>
      <c r="N225" s="144">
        <v>0</v>
      </c>
      <c r="O225" s="144">
        <v>0</v>
      </c>
      <c r="P225" s="144">
        <v>0</v>
      </c>
      <c r="Q225" s="144">
        <v>0</v>
      </c>
      <c r="R225" s="144">
        <v>0</v>
      </c>
      <c r="S225" s="144">
        <v>0</v>
      </c>
      <c r="T225" s="144">
        <f t="shared" si="81"/>
        <v>0</v>
      </c>
      <c r="U225" s="144">
        <v>0</v>
      </c>
      <c r="V225" s="144"/>
      <c r="W225" s="190"/>
      <c r="X225" s="129"/>
      <c r="Y225" s="490">
        <f t="shared" si="80"/>
        <v>0</v>
      </c>
    </row>
    <row r="226" spans="1:25" ht="16.5" customHeight="1" hidden="1">
      <c r="A226" s="136"/>
      <c r="B226" s="137"/>
      <c r="C226" s="520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43"/>
      <c r="X226" s="143"/>
      <c r="Y226" s="493"/>
    </row>
    <row r="227" spans="1:25" ht="15.75">
      <c r="A227" s="210">
        <v>4119</v>
      </c>
      <c r="B227" s="211"/>
      <c r="C227" s="522" t="s">
        <v>150</v>
      </c>
      <c r="D227" s="212">
        <f aca="true" t="shared" si="93" ref="D227:U227">SUM(D228:D231)</f>
        <v>3023207</v>
      </c>
      <c r="E227" s="212">
        <f t="shared" si="93"/>
        <v>2813879</v>
      </c>
      <c r="F227" s="212">
        <f t="shared" si="83"/>
        <v>-209328</v>
      </c>
      <c r="G227" s="212">
        <v>3171343.9688660004</v>
      </c>
      <c r="H227" s="212">
        <f t="shared" si="93"/>
        <v>208632</v>
      </c>
      <c r="I227" s="212">
        <f t="shared" si="93"/>
        <v>267843</v>
      </c>
      <c r="J227" s="212">
        <f t="shared" si="93"/>
        <v>286845</v>
      </c>
      <c r="K227" s="212">
        <f t="shared" si="93"/>
        <v>262764</v>
      </c>
      <c r="L227" s="212">
        <f t="shared" si="93"/>
        <v>245294.9</v>
      </c>
      <c r="M227" s="212">
        <f t="shared" si="93"/>
        <v>208607.12</v>
      </c>
      <c r="N227" s="212">
        <f t="shared" si="93"/>
        <v>208607.12</v>
      </c>
      <c r="O227" s="212">
        <f t="shared" si="93"/>
        <v>208607.12</v>
      </c>
      <c r="P227" s="212">
        <f t="shared" si="93"/>
        <v>214477.1648</v>
      </c>
      <c r="Q227" s="212">
        <f t="shared" si="93"/>
        <v>252632.456</v>
      </c>
      <c r="R227" s="212">
        <f t="shared" si="93"/>
        <v>214477.1648</v>
      </c>
      <c r="S227" s="212">
        <f t="shared" si="93"/>
        <v>237370.33952</v>
      </c>
      <c r="T227" s="212">
        <f t="shared" si="93"/>
        <v>2816157.38512</v>
      </c>
      <c r="U227" s="212">
        <f t="shared" si="93"/>
        <v>2951759.0710000005</v>
      </c>
      <c r="V227" s="213">
        <f>+U227/E227*100</f>
        <v>104.90000000000002</v>
      </c>
      <c r="W227" s="214">
        <f>+V227/W$17*100-100</f>
        <v>0</v>
      </c>
      <c r="X227" s="129">
        <f t="shared" si="82"/>
        <v>104.90000000000002</v>
      </c>
      <c r="Y227" s="506">
        <f t="shared" si="80"/>
        <v>-219584.89786599996</v>
      </c>
    </row>
    <row r="228" spans="1:25" ht="15">
      <c r="A228" s="122">
        <v>411910</v>
      </c>
      <c r="B228" s="123"/>
      <c r="C228" s="194" t="s">
        <v>151</v>
      </c>
      <c r="D228" s="125">
        <v>388711</v>
      </c>
      <c r="E228" s="181">
        <v>396456</v>
      </c>
      <c r="F228" s="181">
        <f t="shared" si="83"/>
        <v>7745</v>
      </c>
      <c r="G228" s="171">
        <v>407757.73410000006</v>
      </c>
      <c r="H228" s="171">
        <v>45520</v>
      </c>
      <c r="I228" s="171">
        <v>60199</v>
      </c>
      <c r="J228" s="171">
        <v>62895</v>
      </c>
      <c r="K228" s="171">
        <v>78810</v>
      </c>
      <c r="L228" s="171">
        <f>SUM(H228:K228)/4</f>
        <v>61856</v>
      </c>
      <c r="M228" s="171">
        <f aca="true" t="shared" si="94" ref="M228:S228">L228</f>
        <v>61856</v>
      </c>
      <c r="N228" s="171">
        <f t="shared" si="94"/>
        <v>61856</v>
      </c>
      <c r="O228" s="171">
        <f t="shared" si="94"/>
        <v>61856</v>
      </c>
      <c r="P228" s="171">
        <f t="shared" si="94"/>
        <v>61856</v>
      </c>
      <c r="Q228" s="171">
        <f t="shared" si="94"/>
        <v>61856</v>
      </c>
      <c r="R228" s="171">
        <f t="shared" si="94"/>
        <v>61856</v>
      </c>
      <c r="S228" s="171">
        <f t="shared" si="94"/>
        <v>61856</v>
      </c>
      <c r="T228" s="171">
        <f t="shared" si="81"/>
        <v>742272</v>
      </c>
      <c r="U228" s="171">
        <v>415882.34400000004</v>
      </c>
      <c r="V228" s="129">
        <f>+U228/E228*100</f>
        <v>104.90000000000002</v>
      </c>
      <c r="W228" s="130">
        <f>+V228/W$17*100-100</f>
        <v>0</v>
      </c>
      <c r="X228" s="129">
        <f t="shared" si="82"/>
        <v>104.90000000000002</v>
      </c>
      <c r="Y228" s="496">
        <f t="shared" si="80"/>
        <v>8124.609899999981</v>
      </c>
    </row>
    <row r="229" spans="1:25" ht="15">
      <c r="A229" s="122">
        <v>411911</v>
      </c>
      <c r="B229" s="123"/>
      <c r="C229" s="194" t="s">
        <v>152</v>
      </c>
      <c r="D229" s="125">
        <v>2294444</v>
      </c>
      <c r="E229" s="181">
        <v>2098084</v>
      </c>
      <c r="F229" s="181">
        <f t="shared" si="83"/>
        <v>-196360</v>
      </c>
      <c r="G229" s="171">
        <v>2406871.3217140003</v>
      </c>
      <c r="H229" s="171">
        <v>159610</v>
      </c>
      <c r="I229" s="171">
        <v>203332</v>
      </c>
      <c r="J229" s="171">
        <v>219170</v>
      </c>
      <c r="K229" s="171">
        <v>180133</v>
      </c>
      <c r="L229" s="171">
        <v>180000</v>
      </c>
      <c r="M229" s="171">
        <f aca="true" t="shared" si="95" ref="M229:S229">L229*M39</f>
        <v>144000</v>
      </c>
      <c r="N229" s="171">
        <f t="shared" si="95"/>
        <v>144000</v>
      </c>
      <c r="O229" s="171">
        <f t="shared" si="95"/>
        <v>144000</v>
      </c>
      <c r="P229" s="171">
        <f t="shared" si="95"/>
        <v>149760</v>
      </c>
      <c r="Q229" s="171">
        <f t="shared" si="95"/>
        <v>187200</v>
      </c>
      <c r="R229" s="171">
        <f t="shared" si="95"/>
        <v>149760</v>
      </c>
      <c r="S229" s="171">
        <f t="shared" si="95"/>
        <v>172224</v>
      </c>
      <c r="T229" s="171">
        <f t="shared" si="81"/>
        <v>2033189</v>
      </c>
      <c r="U229" s="171">
        <v>2200890.1160000004</v>
      </c>
      <c r="V229" s="129">
        <f>+U229/E229*100</f>
        <v>104.90000000000002</v>
      </c>
      <c r="W229" s="130">
        <f>+V229/W$17*100-100</f>
        <v>0</v>
      </c>
      <c r="X229" s="129">
        <f t="shared" si="82"/>
        <v>104.90000000000002</v>
      </c>
      <c r="Y229" s="496">
        <f t="shared" si="80"/>
        <v>-205981.20571399992</v>
      </c>
    </row>
    <row r="230" spans="1:25" ht="15">
      <c r="A230" s="122">
        <v>411912</v>
      </c>
      <c r="B230" s="123"/>
      <c r="C230" s="194" t="s">
        <v>153</v>
      </c>
      <c r="D230" s="125">
        <v>50052</v>
      </c>
      <c r="E230" s="181">
        <v>49489</v>
      </c>
      <c r="F230" s="181">
        <f t="shared" si="83"/>
        <v>-563</v>
      </c>
      <c r="G230" s="171">
        <v>52504.913052</v>
      </c>
      <c r="H230" s="171">
        <v>3502</v>
      </c>
      <c r="I230" s="171">
        <v>4312</v>
      </c>
      <c r="J230" s="171">
        <v>4780</v>
      </c>
      <c r="K230" s="171">
        <v>3821</v>
      </c>
      <c r="L230" s="171">
        <f aca="true" t="shared" si="96" ref="L230:S230">K230*L39</f>
        <v>3438.9</v>
      </c>
      <c r="M230" s="171">
        <f t="shared" si="96"/>
        <v>2751.1200000000003</v>
      </c>
      <c r="N230" s="171">
        <f t="shared" si="96"/>
        <v>2751.1200000000003</v>
      </c>
      <c r="O230" s="171">
        <f t="shared" si="96"/>
        <v>2751.1200000000003</v>
      </c>
      <c r="P230" s="171">
        <f t="shared" si="96"/>
        <v>2861.1648000000005</v>
      </c>
      <c r="Q230" s="171">
        <f t="shared" si="96"/>
        <v>3576.4560000000006</v>
      </c>
      <c r="R230" s="171">
        <f t="shared" si="96"/>
        <v>2861.1648000000005</v>
      </c>
      <c r="S230" s="171">
        <f t="shared" si="96"/>
        <v>3290.3395200000004</v>
      </c>
      <c r="T230" s="171">
        <f t="shared" si="81"/>
        <v>40696.38512</v>
      </c>
      <c r="U230" s="171">
        <v>51913.961</v>
      </c>
      <c r="V230" s="129">
        <f>+U230/E230*100</f>
        <v>104.90000000000002</v>
      </c>
      <c r="W230" s="130">
        <f>+V230/W$17*100-100</f>
        <v>0</v>
      </c>
      <c r="X230" s="129">
        <f t="shared" si="82"/>
        <v>104.90000000000002</v>
      </c>
      <c r="Y230" s="496">
        <f t="shared" si="80"/>
        <v>-590.9520520000005</v>
      </c>
    </row>
    <row r="231" spans="1:25" ht="15">
      <c r="A231" s="122">
        <v>411999</v>
      </c>
      <c r="B231" s="123"/>
      <c r="C231" s="194" t="s">
        <v>154</v>
      </c>
      <c r="D231" s="125">
        <v>290000</v>
      </c>
      <c r="E231" s="181">
        <v>269850</v>
      </c>
      <c r="F231" s="181">
        <f t="shared" si="83"/>
        <v>-20150</v>
      </c>
      <c r="G231" s="171">
        <v>304210</v>
      </c>
      <c r="H231" s="171">
        <v>0</v>
      </c>
      <c r="I231" s="171">
        <v>0</v>
      </c>
      <c r="J231" s="171">
        <v>0</v>
      </c>
      <c r="K231" s="171">
        <v>0</v>
      </c>
      <c r="L231" s="171">
        <f>K231*L39</f>
        <v>0</v>
      </c>
      <c r="M231" s="171">
        <f>L231*M93</f>
        <v>0</v>
      </c>
      <c r="N231" s="171">
        <f aca="true" t="shared" si="97" ref="N231:S231">M231*N39</f>
        <v>0</v>
      </c>
      <c r="O231" s="171">
        <f t="shared" si="97"/>
        <v>0</v>
      </c>
      <c r="P231" s="171">
        <f t="shared" si="97"/>
        <v>0</v>
      </c>
      <c r="Q231" s="171">
        <f t="shared" si="97"/>
        <v>0</v>
      </c>
      <c r="R231" s="171">
        <f t="shared" si="97"/>
        <v>0</v>
      </c>
      <c r="S231" s="171">
        <f t="shared" si="97"/>
        <v>0</v>
      </c>
      <c r="T231" s="171">
        <f t="shared" si="81"/>
        <v>0</v>
      </c>
      <c r="U231" s="171">
        <v>283072.65</v>
      </c>
      <c r="V231" s="129">
        <f>+U231/E231*100</f>
        <v>104.90000000000002</v>
      </c>
      <c r="W231" s="130">
        <f>+V231/W$17*100-100</f>
        <v>0</v>
      </c>
      <c r="X231" s="129">
        <f t="shared" si="82"/>
        <v>104.90000000000002</v>
      </c>
      <c r="Y231" s="496">
        <f t="shared" si="80"/>
        <v>-21137.349999999977</v>
      </c>
    </row>
    <row r="232" spans="1:25" ht="15">
      <c r="A232" s="122"/>
      <c r="B232" s="123"/>
      <c r="C232" s="19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6"/>
      <c r="X232" s="126"/>
      <c r="Y232" s="486"/>
    </row>
    <row r="233" spans="1:25" ht="15.75">
      <c r="A233" s="131">
        <v>412</v>
      </c>
      <c r="B233" s="132"/>
      <c r="C233" s="461" t="s">
        <v>155</v>
      </c>
      <c r="D233" s="128">
        <f aca="true" t="shared" si="98" ref="D233:U233">D234</f>
        <v>1065276</v>
      </c>
      <c r="E233" s="128">
        <f t="shared" si="98"/>
        <v>990727</v>
      </c>
      <c r="F233" s="128">
        <f t="shared" si="83"/>
        <v>-74549</v>
      </c>
      <c r="G233" s="125">
        <f>G234</f>
        <v>1043134</v>
      </c>
      <c r="H233" s="128">
        <f t="shared" si="98"/>
        <v>1563</v>
      </c>
      <c r="I233" s="128">
        <f t="shared" si="98"/>
        <v>11424</v>
      </c>
      <c r="J233" s="128">
        <f t="shared" si="98"/>
        <v>33</v>
      </c>
      <c r="K233" s="128">
        <f t="shared" si="98"/>
        <v>25989</v>
      </c>
      <c r="L233" s="128">
        <f t="shared" si="98"/>
        <v>10000</v>
      </c>
      <c r="M233" s="128">
        <f t="shared" si="98"/>
        <v>10000</v>
      </c>
      <c r="N233" s="128">
        <f t="shared" si="98"/>
        <v>10000</v>
      </c>
      <c r="O233" s="128">
        <f t="shared" si="98"/>
        <v>10000</v>
      </c>
      <c r="P233" s="128">
        <f t="shared" si="98"/>
        <v>10000</v>
      </c>
      <c r="Q233" s="128">
        <f t="shared" si="98"/>
        <v>10000</v>
      </c>
      <c r="R233" s="128">
        <f t="shared" si="98"/>
        <v>10000</v>
      </c>
      <c r="S233" s="128">
        <f t="shared" si="98"/>
        <v>10000</v>
      </c>
      <c r="T233" s="128">
        <f t="shared" si="98"/>
        <v>119009</v>
      </c>
      <c r="U233" s="128">
        <f t="shared" si="98"/>
        <v>119009</v>
      </c>
      <c r="V233" s="129">
        <f>+U233/E233*100</f>
        <v>12.012289964844</v>
      </c>
      <c r="W233" s="130">
        <f>+V233/W$17*100-100</f>
        <v>-88.54881795534413</v>
      </c>
      <c r="X233" s="129">
        <f t="shared" si="82"/>
        <v>12.012289964844</v>
      </c>
      <c r="Y233" s="487">
        <f t="shared" si="80"/>
        <v>-924125</v>
      </c>
    </row>
    <row r="234" spans="1:25" ht="15">
      <c r="A234" s="122">
        <v>4120</v>
      </c>
      <c r="B234" s="123"/>
      <c r="C234" s="194" t="s">
        <v>156</v>
      </c>
      <c r="D234" s="125">
        <v>1065276</v>
      </c>
      <c r="E234" s="181">
        <v>990727</v>
      </c>
      <c r="F234" s="181">
        <f t="shared" si="83"/>
        <v>-74549</v>
      </c>
      <c r="G234" s="171">
        <v>1043134</v>
      </c>
      <c r="H234" s="171">
        <v>1563</v>
      </c>
      <c r="I234" s="171">
        <v>11424</v>
      </c>
      <c r="J234" s="171">
        <v>33</v>
      </c>
      <c r="K234" s="171">
        <v>25989</v>
      </c>
      <c r="L234" s="171">
        <v>10000</v>
      </c>
      <c r="M234" s="171">
        <v>10000</v>
      </c>
      <c r="N234" s="171">
        <f>M234</f>
        <v>10000</v>
      </c>
      <c r="O234" s="171">
        <f>N234</f>
        <v>10000</v>
      </c>
      <c r="P234" s="171">
        <f>O234</f>
        <v>10000</v>
      </c>
      <c r="Q234" s="171">
        <f>P234</f>
        <v>10000</v>
      </c>
      <c r="R234" s="171">
        <f>Q234</f>
        <v>10000</v>
      </c>
      <c r="S234" s="171">
        <v>10000</v>
      </c>
      <c r="T234" s="171">
        <f t="shared" si="81"/>
        <v>119009</v>
      </c>
      <c r="U234" s="171">
        <v>119009</v>
      </c>
      <c r="V234" s="129">
        <f>+U234/E234*100</f>
        <v>12.012289964844</v>
      </c>
      <c r="W234" s="130">
        <f>+V234/W$17*100-100</f>
        <v>-88.54881795534413</v>
      </c>
      <c r="X234" s="129">
        <f t="shared" si="82"/>
        <v>12.012289964844</v>
      </c>
      <c r="Y234" s="496">
        <f t="shared" si="80"/>
        <v>-924125</v>
      </c>
    </row>
    <row r="235" spans="1:25" ht="15">
      <c r="A235" s="122"/>
      <c r="B235" s="123"/>
      <c r="C235" s="523"/>
      <c r="D235" s="542"/>
      <c r="E235" s="215"/>
      <c r="F235" s="21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6"/>
      <c r="X235" s="129"/>
      <c r="Y235" s="486"/>
    </row>
    <row r="236" spans="1:25" ht="15.75">
      <c r="A236" s="131">
        <v>413</v>
      </c>
      <c r="B236" s="132"/>
      <c r="C236" s="461" t="s">
        <v>157</v>
      </c>
      <c r="D236" s="128">
        <f>D238+D244+D284+D290</f>
        <v>326506073</v>
      </c>
      <c r="E236" s="128">
        <f>E238+E244+E284+E290</f>
        <v>324663809.99999994</v>
      </c>
      <c r="F236" s="128">
        <f t="shared" si="83"/>
        <v>-1842263.0000000596</v>
      </c>
      <c r="G236" s="128">
        <f>G238+G244+G284</f>
        <v>347722458.96061486</v>
      </c>
      <c r="H236" s="128">
        <f aca="true" t="shared" si="99" ref="H236:U236">H238+H244+H284+H290</f>
        <v>26489226</v>
      </c>
      <c r="I236" s="128">
        <f t="shared" si="99"/>
        <v>30293065</v>
      </c>
      <c r="J236" s="128">
        <f t="shared" si="99"/>
        <v>28456756</v>
      </c>
      <c r="K236" s="128">
        <f t="shared" si="99"/>
        <v>28511702</v>
      </c>
      <c r="L236" s="128">
        <f t="shared" si="99"/>
        <v>28211928.299999993</v>
      </c>
      <c r="M236" s="128">
        <f t="shared" si="99"/>
        <v>28343682.731284995</v>
      </c>
      <c r="N236" s="128">
        <f t="shared" si="99"/>
        <v>28737649.67004442</v>
      </c>
      <c r="O236" s="128">
        <f t="shared" si="99"/>
        <v>28041749.40823124</v>
      </c>
      <c r="P236" s="128">
        <f t="shared" si="99"/>
        <v>27746853.34020682</v>
      </c>
      <c r="Q236" s="128">
        <f t="shared" si="99"/>
        <v>29134470.30670208</v>
      </c>
      <c r="R236" s="128">
        <f t="shared" si="99"/>
        <v>29314752.609862007</v>
      </c>
      <c r="S236" s="128">
        <f t="shared" si="99"/>
        <v>35132299.07207728</v>
      </c>
      <c r="T236" s="128">
        <f t="shared" si="99"/>
        <v>348414134.4384088</v>
      </c>
      <c r="U236" s="128">
        <f t="shared" si="99"/>
        <v>351294695.97999996</v>
      </c>
      <c r="V236" s="129">
        <f>+U236/E236*100</f>
        <v>108.2026037888239</v>
      </c>
      <c r="W236" s="130">
        <f>+V236/W$17*100-100</f>
        <v>3.1483353563621392</v>
      </c>
      <c r="X236" s="129">
        <f t="shared" si="82"/>
        <v>108.2026037888239</v>
      </c>
      <c r="Y236" s="487">
        <f t="shared" si="80"/>
        <v>3572237.0193850994</v>
      </c>
    </row>
    <row r="237" spans="1:25" ht="15.75">
      <c r="A237" s="116"/>
      <c r="B237" s="117"/>
      <c r="C237" s="518"/>
      <c r="D237" s="540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20"/>
      <c r="W237" s="121"/>
      <c r="X237" s="121"/>
      <c r="Y237" s="485"/>
    </row>
    <row r="238" spans="1:25" ht="15.75">
      <c r="A238" s="131">
        <v>4131</v>
      </c>
      <c r="B238" s="123"/>
      <c r="C238" s="461" t="s">
        <v>158</v>
      </c>
      <c r="D238" s="171">
        <f aca="true" t="shared" si="100" ref="D238:U238">+D239+D241</f>
        <v>797453</v>
      </c>
      <c r="E238" s="171">
        <f t="shared" si="100"/>
        <v>674722</v>
      </c>
      <c r="F238" s="171">
        <f t="shared" si="83"/>
        <v>-122731</v>
      </c>
      <c r="G238" s="171">
        <f>+G239+G241</f>
        <v>857261.6258915999</v>
      </c>
      <c r="H238" s="171">
        <f t="shared" si="100"/>
        <v>64440</v>
      </c>
      <c r="I238" s="171">
        <f t="shared" si="100"/>
        <v>58178</v>
      </c>
      <c r="J238" s="171">
        <f t="shared" si="100"/>
        <v>58637</v>
      </c>
      <c r="K238" s="171">
        <f t="shared" si="100"/>
        <v>64674</v>
      </c>
      <c r="L238" s="171">
        <f t="shared" si="100"/>
        <v>59823.45</v>
      </c>
      <c r="M238" s="171">
        <f t="shared" si="100"/>
        <v>70591.671</v>
      </c>
      <c r="N238" s="171">
        <f t="shared" si="100"/>
        <v>63532.503899999996</v>
      </c>
      <c r="O238" s="171">
        <f t="shared" si="100"/>
        <v>63532.503899999996</v>
      </c>
      <c r="P238" s="171">
        <f t="shared" si="100"/>
        <v>73062.379485</v>
      </c>
      <c r="Q238" s="171">
        <f t="shared" si="100"/>
        <v>84752.36020259999</v>
      </c>
      <c r="R238" s="171">
        <f t="shared" si="100"/>
        <v>68649.411764106</v>
      </c>
      <c r="S238" s="171">
        <f t="shared" si="100"/>
        <v>95422.68235210734</v>
      </c>
      <c r="T238" s="171">
        <f t="shared" si="100"/>
        <v>825295.9626038132</v>
      </c>
      <c r="U238" s="171">
        <f t="shared" si="100"/>
        <v>725326.15</v>
      </c>
      <c r="V238" s="129">
        <f>+U238/E238*100</f>
        <v>107.5</v>
      </c>
      <c r="W238" s="130">
        <f>+V238/W$17*100-100</f>
        <v>2.4785510009532885</v>
      </c>
      <c r="X238" s="129">
        <f t="shared" si="82"/>
        <v>107.5</v>
      </c>
      <c r="Y238" s="496">
        <f aca="true" t="shared" si="101" ref="Y238:Y293">+U238-G238</f>
        <v>-131935.4758915999</v>
      </c>
    </row>
    <row r="239" spans="1:25" ht="15.75">
      <c r="A239" s="136">
        <v>413110</v>
      </c>
      <c r="B239" s="162"/>
      <c r="C239" s="520" t="s">
        <v>159</v>
      </c>
      <c r="D239" s="153">
        <v>443461</v>
      </c>
      <c r="E239" s="181">
        <v>375090</v>
      </c>
      <c r="F239" s="181">
        <f t="shared" si="83"/>
        <v>-68371</v>
      </c>
      <c r="G239" s="125">
        <v>476720.4407539999</v>
      </c>
      <c r="H239" s="125">
        <v>35817</v>
      </c>
      <c r="I239" s="125">
        <v>32346</v>
      </c>
      <c r="J239" s="125">
        <v>32592</v>
      </c>
      <c r="K239" s="125">
        <v>35950</v>
      </c>
      <c r="L239" s="125">
        <f aca="true" t="shared" si="102" ref="L239:S239">K239*L38</f>
        <v>33253.75</v>
      </c>
      <c r="M239" s="125">
        <f t="shared" si="102"/>
        <v>39239.424999999996</v>
      </c>
      <c r="N239" s="125">
        <f t="shared" si="102"/>
        <v>35315.4825</v>
      </c>
      <c r="O239" s="125">
        <f t="shared" si="102"/>
        <v>35315.4825</v>
      </c>
      <c r="P239" s="125">
        <f t="shared" si="102"/>
        <v>40612.804874999994</v>
      </c>
      <c r="Q239" s="125">
        <f t="shared" si="102"/>
        <v>47110.85365499999</v>
      </c>
      <c r="R239" s="125">
        <f t="shared" si="102"/>
        <v>38159.79146055</v>
      </c>
      <c r="S239" s="125">
        <f t="shared" si="102"/>
        <v>53042.110130164496</v>
      </c>
      <c r="T239" s="125">
        <f t="shared" si="81"/>
        <v>458754.7001207144</v>
      </c>
      <c r="U239" s="125">
        <v>403221.75</v>
      </c>
      <c r="V239" s="129">
        <f>+U239/E239*100</f>
        <v>107.5</v>
      </c>
      <c r="W239" s="130">
        <f>+V239/W$17*100-100</f>
        <v>2.4785510009532885</v>
      </c>
      <c r="X239" s="129">
        <f t="shared" si="82"/>
        <v>107.5</v>
      </c>
      <c r="Y239" s="486">
        <f t="shared" si="101"/>
        <v>-73498.69075399992</v>
      </c>
    </row>
    <row r="240" spans="1:25" ht="15.75">
      <c r="A240" s="136"/>
      <c r="B240" s="162"/>
      <c r="C240" s="520" t="s">
        <v>160</v>
      </c>
      <c r="D240" s="153"/>
      <c r="E240" s="181"/>
      <c r="F240" s="181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9"/>
      <c r="W240" s="130"/>
      <c r="X240" s="130"/>
      <c r="Y240" s="486">
        <f t="shared" si="101"/>
        <v>0</v>
      </c>
    </row>
    <row r="241" spans="1:25" ht="15.75">
      <c r="A241" s="136">
        <v>413111</v>
      </c>
      <c r="B241" s="162"/>
      <c r="C241" s="520" t="s">
        <v>161</v>
      </c>
      <c r="D241" s="153">
        <v>353992</v>
      </c>
      <c r="E241" s="181">
        <v>299632</v>
      </c>
      <c r="F241" s="181">
        <f t="shared" si="83"/>
        <v>-54360</v>
      </c>
      <c r="G241" s="125">
        <v>380541.1851376</v>
      </c>
      <c r="H241" s="125">
        <v>28623</v>
      </c>
      <c r="I241" s="125">
        <v>25832</v>
      </c>
      <c r="J241" s="125">
        <v>26045</v>
      </c>
      <c r="K241" s="125">
        <v>28724</v>
      </c>
      <c r="L241" s="125">
        <f aca="true" t="shared" si="103" ref="L241:S241">K241*L38</f>
        <v>26569.7</v>
      </c>
      <c r="M241" s="125">
        <f t="shared" si="103"/>
        <v>31352.246</v>
      </c>
      <c r="N241" s="125">
        <f t="shared" si="103"/>
        <v>28217.0214</v>
      </c>
      <c r="O241" s="125">
        <f t="shared" si="103"/>
        <v>28217.0214</v>
      </c>
      <c r="P241" s="125">
        <f t="shared" si="103"/>
        <v>32449.57461</v>
      </c>
      <c r="Q241" s="125">
        <f t="shared" si="103"/>
        <v>37641.506547599995</v>
      </c>
      <c r="R241" s="125">
        <f t="shared" si="103"/>
        <v>30489.620303556</v>
      </c>
      <c r="S241" s="125">
        <f t="shared" si="103"/>
        <v>42380.572221942835</v>
      </c>
      <c r="T241" s="125">
        <f>SUM(H241:S241)</f>
        <v>366541.2624830988</v>
      </c>
      <c r="U241" s="125">
        <v>322104.4</v>
      </c>
      <c r="V241" s="129">
        <f>+U241/E241*100</f>
        <v>107.50000000000001</v>
      </c>
      <c r="W241" s="130">
        <f>+V241/W$17*100-100</f>
        <v>2.4785510009532885</v>
      </c>
      <c r="X241" s="129">
        <f aca="true" t="shared" si="104" ref="X241:X294">+U241/E241*100</f>
        <v>107.50000000000001</v>
      </c>
      <c r="Y241" s="486">
        <f t="shared" si="101"/>
        <v>-58436.785137599974</v>
      </c>
    </row>
    <row r="242" spans="1:25" ht="15.75">
      <c r="A242" s="136"/>
      <c r="B242" s="162"/>
      <c r="C242" s="520" t="s">
        <v>162</v>
      </c>
      <c r="D242" s="153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9"/>
      <c r="W242" s="130"/>
      <c r="X242" s="130"/>
      <c r="Y242" s="486"/>
    </row>
    <row r="243" spans="1:25" ht="15">
      <c r="A243" s="122"/>
      <c r="B243" s="123"/>
      <c r="C243" s="193"/>
      <c r="D243" s="543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9"/>
      <c r="W243" s="130"/>
      <c r="X243" s="130"/>
      <c r="Y243" s="486"/>
    </row>
    <row r="244" spans="1:25" ht="15.75">
      <c r="A244" s="131">
        <v>4133</v>
      </c>
      <c r="B244" s="132"/>
      <c r="C244" s="461" t="s">
        <v>163</v>
      </c>
      <c r="D244" s="128">
        <f>D247+D254+D261+D273+D275+D276+D278+D277</f>
        <v>325700899</v>
      </c>
      <c r="E244" s="128">
        <f>E247+E254+E261+E273+E275+E276+E278+E277</f>
        <v>279308060.35239995</v>
      </c>
      <c r="F244" s="128">
        <f aca="true" t="shared" si="105" ref="F244:F306">+E244-D244</f>
        <v>-46392838.647600055</v>
      </c>
      <c r="G244" s="128">
        <f>G247+G254+G261+G273+G275+G276+G278+G277</f>
        <v>346856897.54455525</v>
      </c>
      <c r="H244" s="128">
        <f aca="true" t="shared" si="106" ref="H244:U244">H247+H254+H261+H273+H275+H276+H277+H278</f>
        <v>23742534</v>
      </c>
      <c r="I244" s="128">
        <f t="shared" si="106"/>
        <v>26933894</v>
      </c>
      <c r="J244" s="128">
        <f t="shared" si="106"/>
        <v>23357014</v>
      </c>
      <c r="K244" s="128">
        <f t="shared" si="106"/>
        <v>24034518</v>
      </c>
      <c r="L244" s="128">
        <f t="shared" si="106"/>
        <v>24108593.279999994</v>
      </c>
      <c r="M244" s="128">
        <f t="shared" si="106"/>
        <v>24211208.737519994</v>
      </c>
      <c r="N244" s="128">
        <f t="shared" si="106"/>
        <v>24583100.702135596</v>
      </c>
      <c r="O244" s="128">
        <f t="shared" si="106"/>
        <v>24072358.777108453</v>
      </c>
      <c r="P244" s="128">
        <f t="shared" si="106"/>
        <v>23866850.67628357</v>
      </c>
      <c r="Q244" s="128">
        <f t="shared" si="106"/>
        <v>24896217.986291677</v>
      </c>
      <c r="R244" s="128">
        <f t="shared" si="106"/>
        <v>25058762.0747101</v>
      </c>
      <c r="S244" s="128">
        <f t="shared" si="106"/>
        <v>30741486.18569411</v>
      </c>
      <c r="T244" s="128">
        <f t="shared" si="106"/>
        <v>299606538.4197435</v>
      </c>
      <c r="U244" s="128">
        <f t="shared" si="106"/>
        <v>302171346.7616</v>
      </c>
      <c r="V244" s="129">
        <f>+U244/E244*100</f>
        <v>108.18568801070536</v>
      </c>
      <c r="W244" s="130">
        <f>+V244/W$17*100-100</f>
        <v>3.132209733751523</v>
      </c>
      <c r="X244" s="129">
        <f t="shared" si="104"/>
        <v>108.18568801070536</v>
      </c>
      <c r="Y244" s="487">
        <f t="shared" si="101"/>
        <v>-44685550.78295523</v>
      </c>
    </row>
    <row r="245" spans="1:26" ht="15.75">
      <c r="A245" s="116"/>
      <c r="B245" s="117"/>
      <c r="C245" s="518"/>
      <c r="D245" s="540"/>
      <c r="E245" s="216"/>
      <c r="F245" s="216"/>
      <c r="G245" s="420">
        <f>+G247+G254+G261+G278+G292+G293+G294+G296</f>
        <v>278159422.2113448</v>
      </c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420">
        <f>+T247+T254+T261+T278+T292+T293+T294+T296</f>
        <v>271277366.6585471</v>
      </c>
      <c r="U245" s="420">
        <f>+U247+U254+U261+U278+U292+U293+U294+U296</f>
        <v>273468761</v>
      </c>
      <c r="V245" s="120"/>
      <c r="W245" s="121"/>
      <c r="X245" s="121"/>
      <c r="Y245" s="507">
        <f t="shared" si="101"/>
        <v>-4690661.211344779</v>
      </c>
      <c r="Z245" s="563"/>
    </row>
    <row r="246" spans="1:26" ht="15.75">
      <c r="A246" s="145"/>
      <c r="B246" s="146"/>
      <c r="C246" s="524" t="s">
        <v>164</v>
      </c>
      <c r="D246" s="421">
        <f>+D247+D254+D261</f>
        <v>261385024</v>
      </c>
      <c r="E246" s="148">
        <f>+E247+E254+E261</f>
        <v>224592869.0549</v>
      </c>
      <c r="F246" s="148">
        <f t="shared" si="105"/>
        <v>-36792154.94510001</v>
      </c>
      <c r="G246" s="148">
        <f aca="true" t="shared" si="107" ref="G246:U246">+G247+G254+G261+G278</f>
        <v>278159422.2113448</v>
      </c>
      <c r="H246" s="148">
        <f t="shared" si="107"/>
        <v>19733481</v>
      </c>
      <c r="I246" s="148">
        <f t="shared" si="107"/>
        <v>22166172</v>
      </c>
      <c r="J246" s="148">
        <f t="shared" si="107"/>
        <v>18106078</v>
      </c>
      <c r="K246" s="148">
        <f t="shared" si="107"/>
        <v>19416831</v>
      </c>
      <c r="L246" s="148">
        <f t="shared" si="107"/>
        <v>19235367.924999997</v>
      </c>
      <c r="M246" s="148">
        <f t="shared" si="107"/>
        <v>19331823.347774997</v>
      </c>
      <c r="N246" s="148">
        <f t="shared" si="107"/>
        <v>19660505.861113872</v>
      </c>
      <c r="O246" s="148">
        <f t="shared" si="107"/>
        <v>19629428.633972418</v>
      </c>
      <c r="P246" s="148">
        <f t="shared" si="107"/>
        <v>19652643.322647084</v>
      </c>
      <c r="Q246" s="148">
        <f t="shared" si="107"/>
        <v>19675927.655387774</v>
      </c>
      <c r="R246" s="148">
        <f t="shared" si="107"/>
        <v>19699281.841126684</v>
      </c>
      <c r="S246" s="148">
        <f t="shared" si="107"/>
        <v>25129565.840912405</v>
      </c>
      <c r="T246" s="148">
        <f t="shared" si="107"/>
        <v>241437106.4279352</v>
      </c>
      <c r="U246" s="148">
        <f t="shared" si="107"/>
        <v>243444852.81530002</v>
      </c>
      <c r="V246" s="129">
        <f aca="true" t="shared" si="108" ref="V246:V252">+U246/E246*100</f>
        <v>108.39384787225448</v>
      </c>
      <c r="W246" s="130">
        <f aca="true" t="shared" si="109" ref="W246:W252">+V246/W$17*100-100</f>
        <v>3.3306462080595622</v>
      </c>
      <c r="X246" s="129">
        <f t="shared" si="104"/>
        <v>108.39384787225448</v>
      </c>
      <c r="Y246" s="491">
        <f t="shared" si="101"/>
        <v>-34714569.39604476</v>
      </c>
      <c r="Z246" s="563"/>
    </row>
    <row r="247" spans="1:25" ht="15.75">
      <c r="A247" s="136">
        <v>413300</v>
      </c>
      <c r="B247" s="162"/>
      <c r="C247" s="525" t="s">
        <v>165</v>
      </c>
      <c r="D247" s="217">
        <f>SUM(D248:D252)</f>
        <v>128799698</v>
      </c>
      <c r="E247" s="217">
        <f>SUM(E248:E252)</f>
        <v>107845096.6496</v>
      </c>
      <c r="F247" s="217">
        <f t="shared" si="105"/>
        <v>-20954601.3504</v>
      </c>
      <c r="G247" s="128">
        <f>SUM(G248:G252)</f>
        <v>135021693.5474</v>
      </c>
      <c r="H247" s="128">
        <f aca="true" t="shared" si="110" ref="H247:U247">SUM(H248:H252)</f>
        <v>9730927</v>
      </c>
      <c r="I247" s="128">
        <f t="shared" si="110"/>
        <v>10725151</v>
      </c>
      <c r="J247" s="128">
        <f t="shared" si="110"/>
        <v>8650208</v>
      </c>
      <c r="K247" s="128">
        <f t="shared" si="110"/>
        <v>9481283</v>
      </c>
      <c r="L247" s="128">
        <f t="shared" si="110"/>
        <v>9261474</v>
      </c>
      <c r="M247" s="128">
        <f t="shared" si="110"/>
        <v>9320203.92</v>
      </c>
      <c r="N247" s="128">
        <f t="shared" si="110"/>
        <v>9553209.018</v>
      </c>
      <c r="O247" s="128">
        <f t="shared" si="110"/>
        <v>9553209.018</v>
      </c>
      <c r="P247" s="128">
        <f t="shared" si="110"/>
        <v>9553209.018</v>
      </c>
      <c r="Q247" s="128">
        <f t="shared" si="110"/>
        <v>9553209.018</v>
      </c>
      <c r="R247" s="128">
        <f t="shared" si="110"/>
        <v>9553209.018</v>
      </c>
      <c r="S247" s="128">
        <f t="shared" si="110"/>
        <v>12804511.861</v>
      </c>
      <c r="T247" s="128">
        <f t="shared" si="110"/>
        <v>117739803.871</v>
      </c>
      <c r="U247" s="128">
        <f t="shared" si="110"/>
        <v>115459341.42070001</v>
      </c>
      <c r="V247" s="129">
        <f t="shared" si="108"/>
        <v>107.06035323593754</v>
      </c>
      <c r="W247" s="130">
        <f t="shared" si="109"/>
        <v>2.0594406443637183</v>
      </c>
      <c r="X247" s="129">
        <f t="shared" si="104"/>
        <v>107.06035323593754</v>
      </c>
      <c r="Y247" s="487">
        <f t="shared" si="101"/>
        <v>-19562352.126699984</v>
      </c>
    </row>
    <row r="248" spans="1:25" ht="15">
      <c r="A248" s="163">
        <v>4133001</v>
      </c>
      <c r="B248" s="192"/>
      <c r="C248" s="218" t="s">
        <v>294</v>
      </c>
      <c r="D248" s="176">
        <v>40588222</v>
      </c>
      <c r="E248" s="181">
        <f>39468094*0.7513</f>
        <v>29652379.0222</v>
      </c>
      <c r="F248" s="181">
        <f t="shared" si="105"/>
        <v>-10935842.9778</v>
      </c>
      <c r="G248" s="153">
        <v>42232373.3486</v>
      </c>
      <c r="H248" s="153">
        <v>2907345</v>
      </c>
      <c r="I248" s="153">
        <v>3244657</v>
      </c>
      <c r="J248" s="153">
        <v>2225744</v>
      </c>
      <c r="K248" s="153">
        <v>2385841</v>
      </c>
      <c r="L248" s="153">
        <f aca="true" t="shared" si="111" ref="L248:R249">K248*L28</f>
        <v>2385841</v>
      </c>
      <c r="M248" s="153">
        <f t="shared" si="111"/>
        <v>2385841</v>
      </c>
      <c r="N248" s="153">
        <f t="shared" si="111"/>
        <v>2445487.025</v>
      </c>
      <c r="O248" s="153">
        <f t="shared" si="111"/>
        <v>2445487.025</v>
      </c>
      <c r="P248" s="153">
        <f t="shared" si="111"/>
        <v>2445487.025</v>
      </c>
      <c r="Q248" s="153">
        <f t="shared" si="111"/>
        <v>2445487.025</v>
      </c>
      <c r="R248" s="153">
        <f t="shared" si="111"/>
        <v>2445487.025</v>
      </c>
      <c r="S248" s="153">
        <f>R248*S28+158040+215700+800000*0.596+816</f>
        <v>3296843.025</v>
      </c>
      <c r="T248" s="153">
        <f>SUM(H248:S248)</f>
        <v>31059547.14999999</v>
      </c>
      <c r="U248" s="181">
        <f>41825361*0.7513-663424</f>
        <v>30759969.719299998</v>
      </c>
      <c r="V248" s="129">
        <f t="shared" si="108"/>
        <v>103.73525070710438</v>
      </c>
      <c r="W248" s="130">
        <f t="shared" si="109"/>
        <v>-1.1103425099100406</v>
      </c>
      <c r="X248" s="129">
        <f t="shared" si="104"/>
        <v>103.73525070710438</v>
      </c>
      <c r="Y248" s="492">
        <f t="shared" si="101"/>
        <v>-11472403.629300002</v>
      </c>
    </row>
    <row r="249" spans="1:31" ht="15">
      <c r="A249" s="163">
        <v>4133002</v>
      </c>
      <c r="B249" s="192"/>
      <c r="C249" s="218" t="s">
        <v>166</v>
      </c>
      <c r="D249" s="176">
        <v>70729636</v>
      </c>
      <c r="E249" s="181">
        <f>70139647*0.9563</f>
        <v>67074544.4261</v>
      </c>
      <c r="F249" s="181">
        <f t="shared" si="105"/>
        <v>-3655091.5738999993</v>
      </c>
      <c r="G249" s="153">
        <v>74832408.60679999</v>
      </c>
      <c r="H249" s="153">
        <v>5764781</v>
      </c>
      <c r="I249" s="153">
        <v>6470278</v>
      </c>
      <c r="J249" s="153">
        <v>5695853</v>
      </c>
      <c r="K249" s="153">
        <v>5872992</v>
      </c>
      <c r="L249" s="153">
        <f t="shared" si="111"/>
        <v>5872992</v>
      </c>
      <c r="M249" s="153">
        <f t="shared" si="111"/>
        <v>5931721.92</v>
      </c>
      <c r="N249" s="153">
        <f t="shared" si="111"/>
        <v>6080014.967999999</v>
      </c>
      <c r="O249" s="153">
        <f t="shared" si="111"/>
        <v>6080014.967999999</v>
      </c>
      <c r="P249" s="153">
        <f t="shared" si="111"/>
        <v>6080014.967999999</v>
      </c>
      <c r="Q249" s="153">
        <f t="shared" si="111"/>
        <v>6080014.967999999</v>
      </c>
      <c r="R249" s="153">
        <f t="shared" si="111"/>
        <v>6080014.967999999</v>
      </c>
      <c r="S249" s="153">
        <f>R249*S29+229550+1001100+658285+388426</f>
        <v>8357375.967999999</v>
      </c>
      <c r="T249" s="153">
        <f>SUM(H249:S249)</f>
        <v>74366068.72800002</v>
      </c>
      <c r="U249" s="181">
        <f>75930712*0.9563</f>
        <v>72612539.8856</v>
      </c>
      <c r="V249" s="129">
        <f t="shared" si="108"/>
        <v>108.2564786788847</v>
      </c>
      <c r="W249" s="130">
        <f t="shared" si="109"/>
        <v>3.1996936881646434</v>
      </c>
      <c r="X249" s="129">
        <f t="shared" si="104"/>
        <v>108.2564786788847</v>
      </c>
      <c r="Y249" s="492">
        <f t="shared" si="101"/>
        <v>-2219868.7211999893</v>
      </c>
      <c r="AA249" s="424" t="s">
        <v>322</v>
      </c>
      <c r="AB249" s="424">
        <v>1136000</v>
      </c>
      <c r="AC249" s="424" t="s">
        <v>323</v>
      </c>
      <c r="AD249" s="425"/>
      <c r="AE249" s="425"/>
    </row>
    <row r="250" spans="1:31" ht="15">
      <c r="A250" s="163">
        <v>4133003</v>
      </c>
      <c r="B250" s="192"/>
      <c r="C250" s="218" t="s">
        <v>167</v>
      </c>
      <c r="D250" s="176">
        <v>2066327</v>
      </c>
      <c r="E250" s="181">
        <f>1751033*0.0175</f>
        <v>30643.077500000003</v>
      </c>
      <c r="F250" s="181">
        <f t="shared" si="105"/>
        <v>-2035683.9225</v>
      </c>
      <c r="G250" s="153">
        <v>2138843.0351</v>
      </c>
      <c r="H250" s="153">
        <v>1908</v>
      </c>
      <c r="I250" s="153">
        <v>767</v>
      </c>
      <c r="J250" s="153">
        <v>4556</v>
      </c>
      <c r="K250" s="153">
        <v>2641</v>
      </c>
      <c r="L250" s="153">
        <f aca="true" t="shared" si="112" ref="L250:R250">K250*L27</f>
        <v>2641</v>
      </c>
      <c r="M250" s="153">
        <f t="shared" si="112"/>
        <v>2641</v>
      </c>
      <c r="N250" s="153">
        <f t="shared" si="112"/>
        <v>2707.0249999999996</v>
      </c>
      <c r="O250" s="153">
        <f t="shared" si="112"/>
        <v>2707.0249999999996</v>
      </c>
      <c r="P250" s="153">
        <f t="shared" si="112"/>
        <v>2707.0249999999996</v>
      </c>
      <c r="Q250" s="153">
        <f t="shared" si="112"/>
        <v>2707.0249999999996</v>
      </c>
      <c r="R250" s="153">
        <f t="shared" si="112"/>
        <v>2707.0249999999996</v>
      </c>
      <c r="S250" s="153">
        <f>R250*S27*1.12+8794</f>
        <v>11825.868</v>
      </c>
      <c r="T250" s="153">
        <f>SUM(H250:S250)</f>
        <v>40514.99300000001</v>
      </c>
      <c r="U250" s="181">
        <f>1813680*0.0175</f>
        <v>31739.4</v>
      </c>
      <c r="V250" s="129">
        <f t="shared" si="108"/>
        <v>103.57771669637295</v>
      </c>
      <c r="W250" s="130">
        <f t="shared" si="109"/>
        <v>-1.2605179252879566</v>
      </c>
      <c r="X250" s="129">
        <f t="shared" si="104"/>
        <v>103.57771669637295</v>
      </c>
      <c r="Y250" s="492">
        <f t="shared" si="101"/>
        <v>-2107103.6351</v>
      </c>
      <c r="AA250" s="424"/>
      <c r="AB250" s="424"/>
      <c r="AC250" s="424" t="s">
        <v>324</v>
      </c>
      <c r="AD250" s="425" t="s">
        <v>325</v>
      </c>
      <c r="AE250" s="425" t="s">
        <v>326</v>
      </c>
    </row>
    <row r="251" spans="1:33" ht="15.75">
      <c r="A251" s="163">
        <v>41330004</v>
      </c>
      <c r="B251" s="192"/>
      <c r="C251" s="218" t="s">
        <v>168</v>
      </c>
      <c r="D251" s="176">
        <v>3557824</v>
      </c>
      <c r="E251" s="181">
        <v>0</v>
      </c>
      <c r="F251" s="181">
        <f t="shared" si="105"/>
        <v>-3557824</v>
      </c>
      <c r="G251" s="153">
        <v>3680273.8912</v>
      </c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>
        <f>SUM(H251:S251)</f>
        <v>0</v>
      </c>
      <c r="U251" s="153">
        <v>0</v>
      </c>
      <c r="V251" s="129"/>
      <c r="W251" s="130">
        <f t="shared" si="109"/>
        <v>-100</v>
      </c>
      <c r="X251" s="130"/>
      <c r="Y251" s="493">
        <f t="shared" si="101"/>
        <v>-3680273.8912</v>
      </c>
      <c r="AA251" s="24" t="s">
        <v>327</v>
      </c>
      <c r="AB251" s="424">
        <v>1136000</v>
      </c>
      <c r="AC251" s="24">
        <f>+AB251*0.583+1136</f>
        <v>663424</v>
      </c>
      <c r="AD251" s="24">
        <f>+AB251*0.127</f>
        <v>144272</v>
      </c>
      <c r="AE251" s="24">
        <f>+AB251*0.289</f>
        <v>328304</v>
      </c>
      <c r="AF251" s="23">
        <f>+AE251+AD251+AC251</f>
        <v>1136000</v>
      </c>
      <c r="AG251" s="575" t="s">
        <v>331</v>
      </c>
    </row>
    <row r="252" spans="1:32" ht="15.75">
      <c r="A252" s="163">
        <v>4133005</v>
      </c>
      <c r="B252" s="192"/>
      <c r="C252" s="218" t="s">
        <v>169</v>
      </c>
      <c r="D252" s="176">
        <v>11857689</v>
      </c>
      <c r="E252" s="181">
        <f>11781458*0.9411</f>
        <v>11087530.1238</v>
      </c>
      <c r="F252" s="181">
        <f t="shared" si="105"/>
        <v>-770158.8761999998</v>
      </c>
      <c r="G252" s="153">
        <v>12137794.6657</v>
      </c>
      <c r="H252" s="153">
        <v>1056893</v>
      </c>
      <c r="I252" s="153">
        <v>1009449</v>
      </c>
      <c r="J252" s="153">
        <v>724055</v>
      </c>
      <c r="K252" s="153">
        <v>1219809</v>
      </c>
      <c r="L252" s="153">
        <v>1000000</v>
      </c>
      <c r="M252" s="153">
        <f aca="true" t="shared" si="113" ref="M252:R252">L252*M27</f>
        <v>1000000</v>
      </c>
      <c r="N252" s="153">
        <f t="shared" si="113"/>
        <v>1024999.9999999999</v>
      </c>
      <c r="O252" s="153">
        <f t="shared" si="113"/>
        <v>1024999.9999999999</v>
      </c>
      <c r="P252" s="153">
        <f t="shared" si="113"/>
        <v>1024999.9999999999</v>
      </c>
      <c r="Q252" s="153">
        <f t="shared" si="113"/>
        <v>1024999.9999999999</v>
      </c>
      <c r="R252" s="153">
        <f t="shared" si="113"/>
        <v>1024999.9999999999</v>
      </c>
      <c r="S252" s="153">
        <f>R252*S27+113467</f>
        <v>1138467</v>
      </c>
      <c r="T252" s="153">
        <f>SUM(H252:S252)</f>
        <v>12273673</v>
      </c>
      <c r="U252" s="181">
        <f>12059178*0.9411+706200</f>
        <v>12055092.415800001</v>
      </c>
      <c r="V252" s="129">
        <f t="shared" si="108"/>
        <v>108.72658095352612</v>
      </c>
      <c r="W252" s="130">
        <f t="shared" si="109"/>
        <v>3.6478369433042133</v>
      </c>
      <c r="X252" s="129">
        <f t="shared" si="104"/>
        <v>108.72658095352612</v>
      </c>
      <c r="Y252" s="492">
        <f t="shared" si="101"/>
        <v>-82702.2498999983</v>
      </c>
      <c r="AA252" s="24"/>
      <c r="AB252" s="424"/>
      <c r="AC252" s="24"/>
      <c r="AD252" s="24"/>
      <c r="AE252" s="24"/>
      <c r="AF252" s="23"/>
    </row>
    <row r="253" spans="1:31" ht="15.75">
      <c r="A253" s="116"/>
      <c r="B253" s="117"/>
      <c r="C253" s="526"/>
      <c r="D253" s="544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20"/>
      <c r="W253" s="121"/>
      <c r="X253" s="121"/>
      <c r="Y253" s="485"/>
      <c r="AA253" s="24"/>
      <c r="AB253" s="424"/>
      <c r="AC253" s="24"/>
      <c r="AD253" s="24"/>
      <c r="AE253" s="24"/>
    </row>
    <row r="254" spans="1:33" ht="15.75">
      <c r="A254" s="163">
        <v>413301</v>
      </c>
      <c r="B254" s="162"/>
      <c r="C254" s="525" t="s">
        <v>170</v>
      </c>
      <c r="D254" s="219">
        <f>SUM(D255:D259)</f>
        <v>27818819</v>
      </c>
      <c r="E254" s="219">
        <f>SUM(E255:E259)</f>
        <v>23349264.614800002</v>
      </c>
      <c r="F254" s="219">
        <f t="shared" si="105"/>
        <v>-4469554.385199998</v>
      </c>
      <c r="G254" s="220">
        <f>SUM(G255:G259)</f>
        <v>29084648.0347</v>
      </c>
      <c r="H254" s="220">
        <f aca="true" t="shared" si="114" ref="H254:U254">SUM(H255:H259)</f>
        <v>2072774</v>
      </c>
      <c r="I254" s="220">
        <f t="shared" si="114"/>
        <v>2383168</v>
      </c>
      <c r="J254" s="220">
        <f t="shared" si="114"/>
        <v>1929591</v>
      </c>
      <c r="K254" s="220">
        <f t="shared" si="114"/>
        <v>1993148</v>
      </c>
      <c r="L254" s="220">
        <f t="shared" si="114"/>
        <v>1993148</v>
      </c>
      <c r="M254" s="220">
        <f t="shared" si="114"/>
        <v>2006044.95</v>
      </c>
      <c r="N254" s="220">
        <f t="shared" si="114"/>
        <v>2056196.0737499997</v>
      </c>
      <c r="O254" s="220">
        <f t="shared" si="114"/>
        <v>2056196.0737499997</v>
      </c>
      <c r="P254" s="220">
        <f t="shared" si="114"/>
        <v>2056196.0737499997</v>
      </c>
      <c r="Q254" s="220">
        <f t="shared" si="114"/>
        <v>2056196.0737499997</v>
      </c>
      <c r="R254" s="220">
        <f t="shared" si="114"/>
        <v>2056196.0737499997</v>
      </c>
      <c r="S254" s="220">
        <f t="shared" si="114"/>
        <v>2676800.9377499996</v>
      </c>
      <c r="T254" s="220">
        <f t="shared" si="114"/>
        <v>25335655.256499995</v>
      </c>
      <c r="U254" s="220">
        <f t="shared" si="114"/>
        <v>24898684.3763</v>
      </c>
      <c r="V254" s="129">
        <f aca="true" t="shared" si="115" ref="V254:V259">+U254/E254*100</f>
        <v>106.63583965945503</v>
      </c>
      <c r="W254" s="130">
        <f aca="true" t="shared" si="116" ref="W254:W259">+V254/W$17*100-100</f>
        <v>1.6547565867064122</v>
      </c>
      <c r="X254" s="129">
        <f t="shared" si="104"/>
        <v>106.63583965945503</v>
      </c>
      <c r="Y254" s="508">
        <f t="shared" si="101"/>
        <v>-4185963.658399999</v>
      </c>
      <c r="AA254" s="24" t="s">
        <v>328</v>
      </c>
      <c r="AB254" s="424">
        <v>1100000</v>
      </c>
      <c r="AC254" s="24">
        <f>AB254*0.642</f>
        <v>706200</v>
      </c>
      <c r="AD254" s="24">
        <f>AB254*0.137</f>
        <v>150700</v>
      </c>
      <c r="AE254" s="24">
        <f>AB254*0.221</f>
        <v>243100</v>
      </c>
      <c r="AF254" s="23">
        <f>+AE254+AD254+AC254</f>
        <v>1100000</v>
      </c>
      <c r="AG254" s="1" t="s">
        <v>332</v>
      </c>
    </row>
    <row r="255" spans="1:31" ht="15">
      <c r="A255" s="163">
        <v>4133011</v>
      </c>
      <c r="B255" s="221"/>
      <c r="C255" s="222" t="s">
        <v>295</v>
      </c>
      <c r="D255" s="545">
        <v>8844455</v>
      </c>
      <c r="E255" s="181">
        <f>8591619*0.7513</f>
        <v>6454883.3547</v>
      </c>
      <c r="F255" s="181">
        <f t="shared" si="105"/>
        <v>-2389571.6453</v>
      </c>
      <c r="G255" s="153">
        <v>9188736.4415</v>
      </c>
      <c r="H255" s="153">
        <v>625149</v>
      </c>
      <c r="I255" s="153">
        <v>724696</v>
      </c>
      <c r="J255" s="153">
        <v>488388</v>
      </c>
      <c r="K255" s="153">
        <v>486269</v>
      </c>
      <c r="L255" s="153">
        <f aca="true" t="shared" si="117" ref="L255:R256">K255*L28</f>
        <v>486269</v>
      </c>
      <c r="M255" s="153">
        <f t="shared" si="117"/>
        <v>486269</v>
      </c>
      <c r="N255" s="153">
        <f t="shared" si="117"/>
        <v>498425.725</v>
      </c>
      <c r="O255" s="153">
        <f t="shared" si="117"/>
        <v>498425.725</v>
      </c>
      <c r="P255" s="153">
        <f t="shared" si="117"/>
        <v>498425.725</v>
      </c>
      <c r="Q255" s="153">
        <f t="shared" si="117"/>
        <v>498425.725</v>
      </c>
      <c r="R255" s="153">
        <f t="shared" si="117"/>
        <v>498425.725</v>
      </c>
      <c r="S255" s="153">
        <f>R255*S28+36350+31100+800000*0.127+178</f>
        <v>667653.725</v>
      </c>
      <c r="T255" s="153">
        <f>SUM(H255:S255)</f>
        <v>6456822.349999999</v>
      </c>
      <c r="U255" s="181">
        <f>9129956*0.7513-144272</f>
        <v>6715063.942799999</v>
      </c>
      <c r="V255" s="129">
        <f t="shared" si="115"/>
        <v>104.03075584488377</v>
      </c>
      <c r="W255" s="130">
        <f t="shared" si="116"/>
        <v>-0.8286407579754353</v>
      </c>
      <c r="X255" s="129">
        <f t="shared" si="104"/>
        <v>104.03075584488377</v>
      </c>
      <c r="Y255" s="492">
        <f t="shared" si="101"/>
        <v>-2473672.4987000013</v>
      </c>
      <c r="AA255" s="425"/>
      <c r="AB255" s="424"/>
      <c r="AC255" s="424"/>
      <c r="AD255" s="424"/>
      <c r="AE255" s="424"/>
    </row>
    <row r="256" spans="1:33" ht="15">
      <c r="A256" s="163">
        <v>4133012</v>
      </c>
      <c r="B256" s="192"/>
      <c r="C256" s="218" t="s">
        <v>174</v>
      </c>
      <c r="D256" s="176">
        <v>15268278</v>
      </c>
      <c r="E256" s="181">
        <f>15193230*0.9563</f>
        <v>14529285.849000001</v>
      </c>
      <c r="F256" s="181">
        <f t="shared" si="105"/>
        <v>-738992.1509999987</v>
      </c>
      <c r="G256" s="153">
        <v>16088175.1014</v>
      </c>
      <c r="H256" s="153">
        <v>1220635</v>
      </c>
      <c r="I256" s="153">
        <v>1441564</v>
      </c>
      <c r="J256" s="153">
        <v>1239792</v>
      </c>
      <c r="K256" s="153">
        <v>1289695</v>
      </c>
      <c r="L256" s="153">
        <f t="shared" si="117"/>
        <v>1289695</v>
      </c>
      <c r="M256" s="153">
        <f t="shared" si="117"/>
        <v>1302591.95</v>
      </c>
      <c r="N256" s="153">
        <f t="shared" si="117"/>
        <v>1335156.7487499998</v>
      </c>
      <c r="O256" s="153">
        <f t="shared" si="117"/>
        <v>1335156.7487499998</v>
      </c>
      <c r="P256" s="153">
        <f t="shared" si="117"/>
        <v>1335156.7487499998</v>
      </c>
      <c r="Q256" s="153">
        <f t="shared" si="117"/>
        <v>1335156.7487499998</v>
      </c>
      <c r="R256" s="153">
        <f t="shared" si="117"/>
        <v>1335156.7487499998</v>
      </c>
      <c r="S256" s="153">
        <f>R256*S29+52800+146600+142600+83365</f>
        <v>1760521.7487499998</v>
      </c>
      <c r="T256" s="153">
        <f>SUM(H256:S256)</f>
        <v>16220278.442499997</v>
      </c>
      <c r="U256" s="181">
        <f>16324756*0.9563</f>
        <v>15611364.162800001</v>
      </c>
      <c r="V256" s="129">
        <f t="shared" si="115"/>
        <v>107.44756710719182</v>
      </c>
      <c r="W256" s="130">
        <f t="shared" si="116"/>
        <v>2.4285673090484323</v>
      </c>
      <c r="X256" s="129">
        <f t="shared" si="104"/>
        <v>107.44756710719182</v>
      </c>
      <c r="Y256" s="492">
        <f t="shared" si="101"/>
        <v>-476810.93859999813</v>
      </c>
      <c r="AB256" s="1" t="s">
        <v>330</v>
      </c>
      <c r="AF256" s="1">
        <v>36000</v>
      </c>
      <c r="AG256" s="1" t="s">
        <v>332</v>
      </c>
    </row>
    <row r="257" spans="1:33" ht="15">
      <c r="A257" s="163">
        <v>4133013</v>
      </c>
      <c r="B257" s="223"/>
      <c r="C257" s="224" t="s">
        <v>171</v>
      </c>
      <c r="D257" s="546">
        <v>406724</v>
      </c>
      <c r="E257" s="181">
        <f>343747*0.0175</f>
        <v>6015.5725</v>
      </c>
      <c r="F257" s="181">
        <f t="shared" si="105"/>
        <v>-400708.4275</v>
      </c>
      <c r="G257" s="153">
        <v>421254.46119999996</v>
      </c>
      <c r="H257" s="153">
        <v>47</v>
      </c>
      <c r="I257" s="153">
        <v>529</v>
      </c>
      <c r="J257" s="153">
        <v>980</v>
      </c>
      <c r="K257" s="153">
        <v>568</v>
      </c>
      <c r="L257" s="153">
        <f aca="true" t="shared" si="118" ref="L257:R257">K257*L27</f>
        <v>568</v>
      </c>
      <c r="M257" s="153">
        <f t="shared" si="118"/>
        <v>568</v>
      </c>
      <c r="N257" s="153">
        <f t="shared" si="118"/>
        <v>582.1999999999999</v>
      </c>
      <c r="O257" s="153">
        <f t="shared" si="118"/>
        <v>582.1999999999999</v>
      </c>
      <c r="P257" s="153">
        <f t="shared" si="118"/>
        <v>582.1999999999999</v>
      </c>
      <c r="Q257" s="153">
        <f t="shared" si="118"/>
        <v>582.1999999999999</v>
      </c>
      <c r="R257" s="153">
        <f t="shared" si="118"/>
        <v>582.1999999999999</v>
      </c>
      <c r="S257" s="153">
        <f>R257*S27*1.12+1729</f>
        <v>2381.064</v>
      </c>
      <c r="T257" s="153">
        <f>SUM(H257:S257)</f>
        <v>8552.063999999998</v>
      </c>
      <c r="U257" s="181">
        <f>356306*0.0175</f>
        <v>6235.3550000000005</v>
      </c>
      <c r="V257" s="129">
        <f t="shared" si="115"/>
        <v>103.65355915833447</v>
      </c>
      <c r="W257" s="130">
        <f t="shared" si="116"/>
        <v>-1.1882181522073694</v>
      </c>
      <c r="X257" s="129">
        <f t="shared" si="104"/>
        <v>103.65355915833447</v>
      </c>
      <c r="Y257" s="492">
        <f t="shared" si="101"/>
        <v>-415019.1062</v>
      </c>
      <c r="AA257" s="1" t="s">
        <v>329</v>
      </c>
      <c r="AF257" s="23">
        <f>+AF256+AF254</f>
        <v>1136000</v>
      </c>
      <c r="AG257" s="1" t="s">
        <v>332</v>
      </c>
    </row>
    <row r="258" spans="1:32" ht="15">
      <c r="A258" s="163">
        <v>41330104</v>
      </c>
      <c r="B258" s="192"/>
      <c r="C258" s="218" t="s">
        <v>172</v>
      </c>
      <c r="D258" s="176">
        <v>773611</v>
      </c>
      <c r="E258" s="181">
        <v>0</v>
      </c>
      <c r="F258" s="181">
        <f t="shared" si="105"/>
        <v>-773611</v>
      </c>
      <c r="G258" s="153">
        <v>800375.0242999999</v>
      </c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>
        <f>SUM(H258:S258)</f>
        <v>0</v>
      </c>
      <c r="U258" s="153">
        <v>0</v>
      </c>
      <c r="V258" s="129" t="e">
        <f t="shared" si="115"/>
        <v>#DIV/0!</v>
      </c>
      <c r="W258" s="130" t="e">
        <f t="shared" si="116"/>
        <v>#DIV/0!</v>
      </c>
      <c r="X258" s="130"/>
      <c r="Y258" s="493">
        <f t="shared" si="101"/>
        <v>-800375.0242999999</v>
      </c>
      <c r="AF258" s="23">
        <f>+AF257-AF251</f>
        <v>0</v>
      </c>
    </row>
    <row r="259" spans="1:25" ht="15">
      <c r="A259" s="163">
        <v>4133015</v>
      </c>
      <c r="B259" s="197"/>
      <c r="C259" s="198" t="s">
        <v>173</v>
      </c>
      <c r="D259" s="547">
        <v>2525751</v>
      </c>
      <c r="E259" s="181">
        <f>2506726*0.9411</f>
        <v>2359079.8386</v>
      </c>
      <c r="F259" s="181">
        <f t="shared" si="105"/>
        <v>-166671.1614000001</v>
      </c>
      <c r="G259" s="153">
        <v>2586107.0063</v>
      </c>
      <c r="H259" s="153">
        <v>226943</v>
      </c>
      <c r="I259" s="153">
        <v>216379</v>
      </c>
      <c r="J259" s="153">
        <v>200431</v>
      </c>
      <c r="K259" s="153">
        <v>216616</v>
      </c>
      <c r="L259" s="153">
        <f aca="true" t="shared" si="119" ref="L259:R259">K259*L27</f>
        <v>216616</v>
      </c>
      <c r="M259" s="153">
        <f t="shared" si="119"/>
        <v>216616</v>
      </c>
      <c r="N259" s="153">
        <f t="shared" si="119"/>
        <v>222031.4</v>
      </c>
      <c r="O259" s="153">
        <f t="shared" si="119"/>
        <v>222031.4</v>
      </c>
      <c r="P259" s="153">
        <f t="shared" si="119"/>
        <v>222031.4</v>
      </c>
      <c r="Q259" s="153">
        <f t="shared" si="119"/>
        <v>222031.4</v>
      </c>
      <c r="R259" s="153">
        <f t="shared" si="119"/>
        <v>222031.4</v>
      </c>
      <c r="S259" s="153">
        <f>R259*S27+24213</f>
        <v>246244.4</v>
      </c>
      <c r="T259" s="153">
        <f>SUM(H259:S259)</f>
        <v>2650002.3999999994</v>
      </c>
      <c r="U259" s="181">
        <f>2566487*0.9411+150700</f>
        <v>2566020.9157000002</v>
      </c>
      <c r="V259" s="129">
        <f t="shared" si="115"/>
        <v>108.77210994362996</v>
      </c>
      <c r="W259" s="130">
        <f t="shared" si="116"/>
        <v>3.6912392217635386</v>
      </c>
      <c r="X259" s="129">
        <f t="shared" si="104"/>
        <v>108.77210994362996</v>
      </c>
      <c r="Y259" s="492">
        <f t="shared" si="101"/>
        <v>-20086.090599999763</v>
      </c>
    </row>
    <row r="260" spans="1:25" ht="15.75">
      <c r="A260" s="116"/>
      <c r="B260" s="117"/>
      <c r="C260" s="518"/>
      <c r="D260" s="540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20"/>
      <c r="W260" s="121"/>
      <c r="X260" s="121"/>
      <c r="Y260" s="485"/>
    </row>
    <row r="261" spans="1:25" ht="15.75">
      <c r="A261" s="136">
        <v>413302</v>
      </c>
      <c r="B261" s="162"/>
      <c r="C261" s="525" t="s">
        <v>175</v>
      </c>
      <c r="D261" s="579">
        <f>SUM(D262:D266)</f>
        <v>104766507</v>
      </c>
      <c r="E261" s="579">
        <f>SUM(E262:E266)</f>
        <v>93398507.79049999</v>
      </c>
      <c r="F261" s="579">
        <f t="shared" si="105"/>
        <v>-11367999.209500015</v>
      </c>
      <c r="G261" s="220">
        <f aca="true" t="shared" si="120" ref="G261:U261">SUM(G262:G266)</f>
        <v>110622080.62924476</v>
      </c>
      <c r="H261" s="220">
        <f t="shared" si="120"/>
        <v>7651080</v>
      </c>
      <c r="I261" s="220">
        <f t="shared" si="120"/>
        <v>8740990</v>
      </c>
      <c r="J261" s="220">
        <f t="shared" si="120"/>
        <v>7342182</v>
      </c>
      <c r="K261" s="220">
        <f t="shared" si="120"/>
        <v>7669185</v>
      </c>
      <c r="L261" s="220">
        <f t="shared" si="120"/>
        <v>7707530.924999999</v>
      </c>
      <c r="M261" s="220">
        <f t="shared" si="120"/>
        <v>7730653.517774998</v>
      </c>
      <c r="N261" s="220">
        <f t="shared" si="120"/>
        <v>7769306.785363873</v>
      </c>
      <c r="O261" s="220">
        <f t="shared" si="120"/>
        <v>7738229.558222417</v>
      </c>
      <c r="P261" s="220">
        <f t="shared" si="120"/>
        <v>7761444.246897083</v>
      </c>
      <c r="Q261" s="220">
        <f t="shared" si="120"/>
        <v>7784728.579637773</v>
      </c>
      <c r="R261" s="220">
        <f t="shared" si="120"/>
        <v>7808082.765376684</v>
      </c>
      <c r="S261" s="220">
        <f t="shared" si="120"/>
        <v>9366459.058162406</v>
      </c>
      <c r="T261" s="220">
        <f t="shared" si="120"/>
        <v>95069872.43643524</v>
      </c>
      <c r="U261" s="220">
        <f t="shared" si="120"/>
        <v>99655827.0183</v>
      </c>
      <c r="V261" s="129">
        <f aca="true" t="shared" si="121" ref="V261:V266">+U261/E261*100</f>
        <v>106.6995922909557</v>
      </c>
      <c r="W261" s="130">
        <f aca="true" t="shared" si="122" ref="W261:W266">+V261/W$17*100-100</f>
        <v>1.7155312592523444</v>
      </c>
      <c r="X261" s="129">
        <f t="shared" si="104"/>
        <v>106.6995922909557</v>
      </c>
      <c r="Y261" s="508">
        <f t="shared" si="101"/>
        <v>-10966253.610944763</v>
      </c>
    </row>
    <row r="262" spans="1:25" ht="15">
      <c r="A262" s="163">
        <v>4133021</v>
      </c>
      <c r="B262" s="137"/>
      <c r="C262" s="218" t="s">
        <v>296</v>
      </c>
      <c r="D262" s="176">
        <v>19081870</v>
      </c>
      <c r="E262" s="181">
        <f>18757499*0.7513</f>
        <v>14092508.998699998</v>
      </c>
      <c r="F262" s="181">
        <f t="shared" si="105"/>
        <v>-4989361.0013000015</v>
      </c>
      <c r="G262" s="153">
        <v>20016881.11333988</v>
      </c>
      <c r="H262" s="153">
        <v>1247249</v>
      </c>
      <c r="I262" s="153">
        <v>2202272</v>
      </c>
      <c r="J262" s="153">
        <v>998834</v>
      </c>
      <c r="K262" s="153">
        <v>1049253</v>
      </c>
      <c r="L262" s="153">
        <f aca="true" t="shared" si="123" ref="L262:R263">K262*L21</f>
        <v>1054499.265</v>
      </c>
      <c r="M262" s="153">
        <f t="shared" si="123"/>
        <v>1057662.7627949999</v>
      </c>
      <c r="N262" s="153">
        <f t="shared" si="123"/>
        <v>1062951.0766089747</v>
      </c>
      <c r="O262" s="153">
        <f t="shared" si="123"/>
        <v>1058699.2723025389</v>
      </c>
      <c r="P262" s="153">
        <f t="shared" si="123"/>
        <v>1061875.3701194464</v>
      </c>
      <c r="Q262" s="153">
        <f t="shared" si="123"/>
        <v>1065060.9962298046</v>
      </c>
      <c r="R262" s="153">
        <f t="shared" si="123"/>
        <v>1068256.1792184939</v>
      </c>
      <c r="S262" s="153">
        <f>R262*S21+247000*0.276+800000*0.276+405</f>
        <v>1358701.4353977123</v>
      </c>
      <c r="T262" s="153">
        <f>SUM(H262:S262)</f>
        <v>14285314.35767197</v>
      </c>
      <c r="U262" s="181">
        <f>19813884*0.7513-328304</f>
        <v>14557867.0492</v>
      </c>
      <c r="V262" s="129">
        <f t="shared" si="121"/>
        <v>103.30216606952622</v>
      </c>
      <c r="W262" s="130">
        <f t="shared" si="122"/>
        <v>-1.5231972645126604</v>
      </c>
      <c r="X262" s="129">
        <f t="shared" si="104"/>
        <v>103.30216606952622</v>
      </c>
      <c r="Y262" s="492">
        <f t="shared" si="101"/>
        <v>-5459014.064139878</v>
      </c>
    </row>
    <row r="263" spans="1:25" ht="15">
      <c r="A263" s="163">
        <v>4133022</v>
      </c>
      <c r="B263" s="137"/>
      <c r="C263" s="218" t="s">
        <v>176</v>
      </c>
      <c r="D263" s="176">
        <v>79717248</v>
      </c>
      <c r="E263" s="181">
        <f>79869265*0.9563</f>
        <v>76378978.1195</v>
      </c>
      <c r="F263" s="181">
        <f t="shared" si="105"/>
        <v>-3338269.8805000037</v>
      </c>
      <c r="G263" s="153">
        <v>83835708.02844732</v>
      </c>
      <c r="H263" s="153">
        <v>6134065</v>
      </c>
      <c r="I263" s="153">
        <v>6277133</v>
      </c>
      <c r="J263" s="153">
        <v>6100641</v>
      </c>
      <c r="K263" s="153">
        <v>6359324</v>
      </c>
      <c r="L263" s="153">
        <f t="shared" si="123"/>
        <v>6391120.619999999</v>
      </c>
      <c r="M263" s="153">
        <f t="shared" si="123"/>
        <v>6410293.981859999</v>
      </c>
      <c r="N263" s="153">
        <f t="shared" si="123"/>
        <v>6442345.451769298</v>
      </c>
      <c r="O263" s="153">
        <f t="shared" si="123"/>
        <v>6416576.06996222</v>
      </c>
      <c r="P263" s="153">
        <f t="shared" si="123"/>
        <v>6435825.798172106</v>
      </c>
      <c r="Q263" s="153">
        <f t="shared" si="123"/>
        <v>6455133.275566622</v>
      </c>
      <c r="R263" s="153">
        <f t="shared" si="123"/>
        <v>6474498.675393321</v>
      </c>
      <c r="S263" s="153">
        <f>R263*S22+749115+20200+444309</f>
        <v>7694597.174068714</v>
      </c>
      <c r="T263" s="153">
        <f>SUM(H263:S263)</f>
        <v>77591554.04679228</v>
      </c>
      <c r="U263" s="181">
        <f>85126881*0.9563-483896+8000+762000</f>
        <v>81692940.3003</v>
      </c>
      <c r="V263" s="129">
        <f t="shared" si="121"/>
        <v>106.95736223714066</v>
      </c>
      <c r="W263" s="130">
        <f t="shared" si="122"/>
        <v>1.9612604739186423</v>
      </c>
      <c r="X263" s="129">
        <f t="shared" si="104"/>
        <v>106.95736223714066</v>
      </c>
      <c r="Y263" s="492">
        <f t="shared" si="101"/>
        <v>-2142767.728147313</v>
      </c>
    </row>
    <row r="264" spans="1:25" ht="15">
      <c r="A264" s="163">
        <v>4133023</v>
      </c>
      <c r="B264" s="137"/>
      <c r="C264" s="224" t="s">
        <v>179</v>
      </c>
      <c r="D264" s="546">
        <v>1839041</v>
      </c>
      <c r="E264" s="181">
        <f>1438225*0.0175</f>
        <v>25168.937500000004</v>
      </c>
      <c r="F264" s="181">
        <f t="shared" si="105"/>
        <v>-1813872.0625</v>
      </c>
      <c r="G264" s="153">
        <v>1929153.7721677693</v>
      </c>
      <c r="H264" s="153">
        <v>749</v>
      </c>
      <c r="I264" s="153">
        <v>1234</v>
      </c>
      <c r="J264" s="153">
        <v>3375</v>
      </c>
      <c r="K264" s="153">
        <v>1956</v>
      </c>
      <c r="L264" s="153">
        <f aca="true" t="shared" si="124" ref="L264:R264">K264*L20</f>
        <v>1965.7799999999997</v>
      </c>
      <c r="M264" s="153">
        <f t="shared" si="124"/>
        <v>1971.6773399999995</v>
      </c>
      <c r="N264" s="153">
        <f t="shared" si="124"/>
        <v>1981.5357266999993</v>
      </c>
      <c r="O264" s="153">
        <f t="shared" si="124"/>
        <v>1973.6095837931994</v>
      </c>
      <c r="P264" s="153">
        <f t="shared" si="124"/>
        <v>1979.5304125445787</v>
      </c>
      <c r="Q264" s="153">
        <f t="shared" si="124"/>
        <v>1985.4690037822122</v>
      </c>
      <c r="R264" s="153">
        <f t="shared" si="124"/>
        <v>1991.4254107935587</v>
      </c>
      <c r="S264" s="153">
        <f>R264*S20*1.12+8268</f>
        <v>10500.626856548875</v>
      </c>
      <c r="T264" s="153">
        <f>SUM(H264:S264)</f>
        <v>31663.654334162424</v>
      </c>
      <c r="U264" s="153">
        <f>1508698*0.0175</f>
        <v>26402.215000000004</v>
      </c>
      <c r="V264" s="129">
        <f t="shared" si="121"/>
        <v>104.89999826174625</v>
      </c>
      <c r="W264" s="130">
        <f t="shared" si="122"/>
        <v>-1.6570579219887804E-06</v>
      </c>
      <c r="X264" s="129">
        <f t="shared" si="104"/>
        <v>104.89999826174625</v>
      </c>
      <c r="Y264" s="493">
        <f t="shared" si="101"/>
        <v>-1902751.5571677692</v>
      </c>
    </row>
    <row r="265" spans="1:25" ht="15">
      <c r="A265" s="163">
        <v>41330204</v>
      </c>
      <c r="B265" s="137"/>
      <c r="C265" s="218" t="s">
        <v>177</v>
      </c>
      <c r="D265" s="176">
        <v>1055744</v>
      </c>
      <c r="E265" s="181">
        <v>0</v>
      </c>
      <c r="F265" s="181">
        <f t="shared" si="105"/>
        <v>-1055744</v>
      </c>
      <c r="G265" s="153">
        <v>1107475.715289787</v>
      </c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>
        <f>SUM(H265:S265)</f>
        <v>0</v>
      </c>
      <c r="U265" s="153">
        <v>0</v>
      </c>
      <c r="V265" s="129" t="e">
        <f t="shared" si="121"/>
        <v>#DIV/0!</v>
      </c>
      <c r="W265" s="130" t="e">
        <f t="shared" si="122"/>
        <v>#DIV/0!</v>
      </c>
      <c r="X265" s="130"/>
      <c r="Y265" s="493">
        <f t="shared" si="101"/>
        <v>-1107475.715289787</v>
      </c>
    </row>
    <row r="266" spans="1:25" ht="15">
      <c r="A266" s="163">
        <v>4133025</v>
      </c>
      <c r="B266" s="137"/>
      <c r="C266" s="218" t="s">
        <v>178</v>
      </c>
      <c r="D266" s="176">
        <v>3072604</v>
      </c>
      <c r="E266" s="181">
        <f>3083468*0.9411</f>
        <v>2901851.7348</v>
      </c>
      <c r="F266" s="181">
        <f t="shared" si="105"/>
        <v>-170752.2651999998</v>
      </c>
      <c r="G266" s="153">
        <f>3320362+412500</f>
        <v>3732862</v>
      </c>
      <c r="H266" s="153">
        <v>269017</v>
      </c>
      <c r="I266" s="153">
        <v>260351</v>
      </c>
      <c r="J266" s="153">
        <v>239332</v>
      </c>
      <c r="K266" s="153">
        <v>258652</v>
      </c>
      <c r="L266" s="153">
        <f aca="true" t="shared" si="125" ref="L266:R266">K266*L20</f>
        <v>259945.25999999998</v>
      </c>
      <c r="M266" s="153">
        <f t="shared" si="125"/>
        <v>260725.09577999995</v>
      </c>
      <c r="N266" s="153">
        <f t="shared" si="125"/>
        <v>262028.72125889992</v>
      </c>
      <c r="O266" s="153">
        <f t="shared" si="125"/>
        <v>260980.6063738643</v>
      </c>
      <c r="P266" s="153">
        <f t="shared" si="125"/>
        <v>261763.54819298588</v>
      </c>
      <c r="Q266" s="153">
        <f t="shared" si="125"/>
        <v>262548.8388375648</v>
      </c>
      <c r="R266" s="153">
        <f t="shared" si="125"/>
        <v>263336.4853540775</v>
      </c>
      <c r="S266" s="153">
        <f>R266*S20+39060</f>
        <v>302659.82183943153</v>
      </c>
      <c r="T266" s="153">
        <f>SUM(H266:S266)</f>
        <v>3161340.377636824</v>
      </c>
      <c r="U266" s="181">
        <f>(3744258-412500)*0.9411+243100</f>
        <v>3378617.4538000003</v>
      </c>
      <c r="V266" s="129">
        <f t="shared" si="121"/>
        <v>116.42970635895908</v>
      </c>
      <c r="W266" s="130">
        <f t="shared" si="122"/>
        <v>10.99114047565213</v>
      </c>
      <c r="X266" s="129">
        <f t="shared" si="104"/>
        <v>116.42970635895908</v>
      </c>
      <c r="Y266" s="492">
        <f t="shared" si="101"/>
        <v>-354244.54619999975</v>
      </c>
    </row>
    <row r="267" spans="1:29" ht="15.75">
      <c r="A267" s="116"/>
      <c r="B267" s="117"/>
      <c r="C267" s="526"/>
      <c r="D267" s="544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20"/>
      <c r="W267" s="121"/>
      <c r="X267" s="121"/>
      <c r="Y267" s="485"/>
      <c r="Z267" s="21"/>
      <c r="AA267" s="21"/>
      <c r="AB267" s="21"/>
      <c r="AC267" s="21"/>
    </row>
    <row r="268" spans="1:29" ht="15.75" hidden="1">
      <c r="A268" s="163"/>
      <c r="B268" s="123"/>
      <c r="C268" s="225" t="s">
        <v>181</v>
      </c>
      <c r="D268" s="548"/>
      <c r="E268" s="226"/>
      <c r="F268" s="226">
        <f t="shared" si="105"/>
        <v>0</v>
      </c>
      <c r="G268" s="140">
        <v>550000</v>
      </c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>
        <v>550000</v>
      </c>
      <c r="V268" s="227"/>
      <c r="W268" s="227"/>
      <c r="X268" s="227" t="e">
        <f t="shared" si="104"/>
        <v>#DIV/0!</v>
      </c>
      <c r="Y268" s="495">
        <f t="shared" si="101"/>
        <v>0</v>
      </c>
      <c r="Z268" s="22"/>
      <c r="AA268" s="20"/>
      <c r="AB268" s="21"/>
      <c r="AC268" s="21"/>
    </row>
    <row r="269" spans="1:29" ht="16.5" customHeight="1" hidden="1">
      <c r="A269" s="136"/>
      <c r="B269" s="137"/>
      <c r="C269" s="462" t="s">
        <v>182</v>
      </c>
      <c r="D269" s="140"/>
      <c r="E269" s="228"/>
      <c r="F269" s="228">
        <f t="shared" si="105"/>
        <v>0</v>
      </c>
      <c r="G269" s="140">
        <v>1394500</v>
      </c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>
        <v>1394500</v>
      </c>
      <c r="V269" s="153"/>
      <c r="W269" s="153"/>
      <c r="X269" s="153" t="e">
        <f t="shared" si="104"/>
        <v>#DIV/0!</v>
      </c>
      <c r="Y269" s="495">
        <f t="shared" si="101"/>
        <v>0</v>
      </c>
      <c r="Z269" s="24"/>
      <c r="AA269" s="20"/>
      <c r="AB269" s="21"/>
      <c r="AC269" s="21"/>
    </row>
    <row r="270" spans="1:29" ht="16.5" customHeight="1" hidden="1">
      <c r="A270" s="136"/>
      <c r="B270" s="137"/>
      <c r="C270" s="462" t="s">
        <v>183</v>
      </c>
      <c r="D270" s="140"/>
      <c r="E270" s="228"/>
      <c r="F270" s="228">
        <f t="shared" si="105"/>
        <v>0</v>
      </c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53"/>
      <c r="W270" s="153"/>
      <c r="X270" s="153" t="e">
        <f t="shared" si="104"/>
        <v>#DIV/0!</v>
      </c>
      <c r="Y270" s="495">
        <f t="shared" si="101"/>
        <v>0</v>
      </c>
      <c r="Z270" s="24"/>
      <c r="AA270" s="20"/>
      <c r="AB270" s="21"/>
      <c r="AC270" s="21"/>
    </row>
    <row r="271" spans="1:29" ht="16.5" customHeight="1" hidden="1">
      <c r="A271" s="136"/>
      <c r="B271" s="137"/>
      <c r="C271" s="462" t="s">
        <v>184</v>
      </c>
      <c r="D271" s="230"/>
      <c r="E271" s="229"/>
      <c r="F271" s="229">
        <f t="shared" si="105"/>
        <v>0</v>
      </c>
      <c r="G271" s="140">
        <v>-584000</v>
      </c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>
        <v>-584000</v>
      </c>
      <c r="V271" s="153"/>
      <c r="W271" s="153"/>
      <c r="X271" s="153" t="e">
        <f t="shared" si="104"/>
        <v>#DIV/0!</v>
      </c>
      <c r="Y271" s="495">
        <f t="shared" si="101"/>
        <v>0</v>
      </c>
      <c r="Z271" s="24"/>
      <c r="AA271" s="20"/>
      <c r="AB271" s="21"/>
      <c r="AC271" s="21"/>
    </row>
    <row r="272" spans="1:29" ht="16.5" customHeight="1" hidden="1">
      <c r="A272" s="136"/>
      <c r="B272" s="137"/>
      <c r="C272" s="462" t="s">
        <v>185</v>
      </c>
      <c r="D272" s="230"/>
      <c r="E272" s="230"/>
      <c r="F272" s="230">
        <f t="shared" si="105"/>
        <v>0</v>
      </c>
      <c r="G272" s="140">
        <v>550000</v>
      </c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>
        <v>550000</v>
      </c>
      <c r="V272" s="153"/>
      <c r="W272" s="153"/>
      <c r="X272" s="153" t="e">
        <f t="shared" si="104"/>
        <v>#DIV/0!</v>
      </c>
      <c r="Y272" s="495">
        <f t="shared" si="101"/>
        <v>0</v>
      </c>
      <c r="Z272" s="20"/>
      <c r="AA272" s="20"/>
      <c r="AB272" s="21"/>
      <c r="AC272" s="21"/>
    </row>
    <row r="273" spans="1:29" ht="16.5" customHeight="1">
      <c r="A273" s="136">
        <v>413303</v>
      </c>
      <c r="B273" s="137"/>
      <c r="C273" s="525" t="s">
        <v>283</v>
      </c>
      <c r="D273" s="228">
        <v>51141609</v>
      </c>
      <c r="E273" s="178">
        <f>(52185612+1121230+813654+3742445)*0.8331</f>
        <v>48205616.147099994</v>
      </c>
      <c r="F273" s="178">
        <f t="shared" si="105"/>
        <v>-2935992.852900006</v>
      </c>
      <c r="G273" s="231">
        <v>55256973.88688475</v>
      </c>
      <c r="H273" s="231">
        <v>3626231</v>
      </c>
      <c r="I273" s="231">
        <v>4056565</v>
      </c>
      <c r="J273" s="231">
        <v>4492041</v>
      </c>
      <c r="K273" s="231">
        <v>4229568</v>
      </c>
      <c r="L273" s="231">
        <f aca="true" t="shared" si="126" ref="L273:S273">K273*L35</f>
        <v>4293011.52</v>
      </c>
      <c r="M273" s="231">
        <f t="shared" si="126"/>
        <v>4293011.52</v>
      </c>
      <c r="N273" s="231">
        <f t="shared" si="126"/>
        <v>4335941.635199999</v>
      </c>
      <c r="O273" s="231">
        <f t="shared" si="126"/>
        <v>3902347.4716799995</v>
      </c>
      <c r="P273" s="231">
        <f t="shared" si="126"/>
        <v>3707230.0980959996</v>
      </c>
      <c r="Q273" s="231">
        <f t="shared" si="126"/>
        <v>4634037.62262</v>
      </c>
      <c r="R273" s="231">
        <f t="shared" si="126"/>
        <v>4773058.7512986</v>
      </c>
      <c r="S273" s="231">
        <f t="shared" si="126"/>
        <v>5011711.68886353</v>
      </c>
      <c r="T273" s="231">
        <f>SUM(H273:S273)</f>
        <v>51354755.30775813</v>
      </c>
      <c r="U273" s="231">
        <f>(56384988+3870674+841671+1176170)*0.8331</f>
        <v>51880055.3493</v>
      </c>
      <c r="V273" s="207">
        <f>+U273/E273*100</f>
        <v>107.6224296998661</v>
      </c>
      <c r="W273" s="208">
        <f>+V273/W$17*100-100</f>
        <v>2.595261868318488</v>
      </c>
      <c r="X273" s="129">
        <f t="shared" si="104"/>
        <v>107.6224296998661</v>
      </c>
      <c r="Y273" s="509">
        <f t="shared" si="101"/>
        <v>-3376918.537584752</v>
      </c>
      <c r="Z273" s="21"/>
      <c r="AA273" s="20"/>
      <c r="AB273" s="21"/>
      <c r="AC273" s="21"/>
    </row>
    <row r="274" spans="1:29" ht="15.75">
      <c r="A274" s="116"/>
      <c r="B274" s="117"/>
      <c r="C274" s="518"/>
      <c r="D274" s="540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20"/>
      <c r="W274" s="121"/>
      <c r="X274" s="121"/>
      <c r="Y274" s="485"/>
      <c r="Z274" s="22"/>
      <c r="AA274" s="20"/>
      <c r="AB274" s="21"/>
      <c r="AC274" s="21"/>
    </row>
    <row r="275" spans="1:29" ht="15.75">
      <c r="A275" s="136">
        <v>413304</v>
      </c>
      <c r="B275" s="137"/>
      <c r="C275" s="525" t="s">
        <v>186</v>
      </c>
      <c r="D275" s="228">
        <v>10040580</v>
      </c>
      <c r="E275" s="178">
        <f>10020968*0.3328</f>
        <v>3334978.1503999997</v>
      </c>
      <c r="F275" s="178">
        <f t="shared" si="105"/>
        <v>-6705601.8496</v>
      </c>
      <c r="G275" s="128">
        <f>10565765-412500</f>
        <v>10153265</v>
      </c>
      <c r="H275" s="128">
        <v>228683</v>
      </c>
      <c r="I275" s="128">
        <v>278153</v>
      </c>
      <c r="J275" s="128">
        <v>306463</v>
      </c>
      <c r="K275" s="128">
        <v>312132</v>
      </c>
      <c r="L275" s="128">
        <f aca="true" t="shared" si="127" ref="L275:S275">K275*L36</f>
        <v>299646.72</v>
      </c>
      <c r="M275" s="128">
        <f t="shared" si="127"/>
        <v>305639.6544</v>
      </c>
      <c r="N275" s="128">
        <f t="shared" si="127"/>
        <v>305639.6544</v>
      </c>
      <c r="O275" s="128">
        <f t="shared" si="127"/>
        <v>259793.70624</v>
      </c>
      <c r="P275" s="128">
        <f t="shared" si="127"/>
        <v>226020.5244288</v>
      </c>
      <c r="Q275" s="128">
        <f t="shared" si="127"/>
        <v>305127.70797888003</v>
      </c>
      <c r="R275" s="128">
        <f t="shared" si="127"/>
        <v>305127.70797888003</v>
      </c>
      <c r="S275" s="128">
        <f t="shared" si="127"/>
        <v>318858.45483792963</v>
      </c>
      <c r="T275" s="128">
        <f>SUM(H275:S275)</f>
        <v>3451285.13026449</v>
      </c>
      <c r="U275" s="128">
        <f>(10153265+412500)*0.3328</f>
        <v>3516286.5919999997</v>
      </c>
      <c r="V275" s="129">
        <f>+U275/E275*100</f>
        <v>105.4365705987685</v>
      </c>
      <c r="W275" s="130">
        <f>+V275/W$17*100-100</f>
        <v>0.5115067671768116</v>
      </c>
      <c r="X275" s="129">
        <f t="shared" si="104"/>
        <v>105.4365705987685</v>
      </c>
      <c r="Y275" s="487">
        <f t="shared" si="101"/>
        <v>-6636978.408</v>
      </c>
      <c r="Z275" s="24"/>
      <c r="AA275" s="20"/>
      <c r="AB275" s="21"/>
      <c r="AC275" s="21"/>
    </row>
    <row r="276" spans="1:29" ht="15.75">
      <c r="A276" s="136">
        <v>413305</v>
      </c>
      <c r="B276" s="137"/>
      <c r="C276" s="525" t="s">
        <v>187</v>
      </c>
      <c r="D276" s="228">
        <v>2465830</v>
      </c>
      <c r="E276" s="232">
        <v>2515245</v>
      </c>
      <c r="F276" s="232">
        <f t="shared" si="105"/>
        <v>49415</v>
      </c>
      <c r="G276" s="233">
        <v>2586655.67</v>
      </c>
      <c r="H276" s="233">
        <v>101123</v>
      </c>
      <c r="I276" s="233">
        <v>377030</v>
      </c>
      <c r="J276" s="233">
        <v>400751</v>
      </c>
      <c r="K276" s="233">
        <v>20564</v>
      </c>
      <c r="L276" s="233">
        <f>SUM(H276:K276)/4</f>
        <v>224867</v>
      </c>
      <c r="M276" s="233">
        <f aca="true" t="shared" si="128" ref="M276:S276">L276</f>
        <v>224867</v>
      </c>
      <c r="N276" s="233">
        <f t="shared" si="128"/>
        <v>224867</v>
      </c>
      <c r="O276" s="233">
        <f t="shared" si="128"/>
        <v>224867</v>
      </c>
      <c r="P276" s="233">
        <f t="shared" si="128"/>
        <v>224867</v>
      </c>
      <c r="Q276" s="233">
        <f t="shared" si="128"/>
        <v>224867</v>
      </c>
      <c r="R276" s="233">
        <f t="shared" si="128"/>
        <v>224867</v>
      </c>
      <c r="S276" s="233">
        <f t="shared" si="128"/>
        <v>224867</v>
      </c>
      <c r="T276" s="233">
        <f>SUM(H276:S276)</f>
        <v>2698404</v>
      </c>
      <c r="U276" s="233">
        <v>2638492.005</v>
      </c>
      <c r="V276" s="184">
        <f>+U276/E276*100</f>
        <v>104.89999999999999</v>
      </c>
      <c r="W276" s="185">
        <f>+V276/W$17*100-100</f>
        <v>0</v>
      </c>
      <c r="X276" s="129">
        <f t="shared" si="104"/>
        <v>104.89999999999999</v>
      </c>
      <c r="Y276" s="510">
        <f t="shared" si="101"/>
        <v>51836.33499999996</v>
      </c>
      <c r="Z276" s="24"/>
      <c r="AA276" s="20"/>
      <c r="AB276" s="21"/>
      <c r="AC276" s="21"/>
    </row>
    <row r="277" spans="1:25" ht="15">
      <c r="A277" s="163">
        <v>413306</v>
      </c>
      <c r="B277" s="192"/>
      <c r="C277" s="198" t="s">
        <v>180</v>
      </c>
      <c r="D277" s="547">
        <v>667856</v>
      </c>
      <c r="E277" s="181">
        <v>659352</v>
      </c>
      <c r="F277" s="181">
        <f t="shared" si="105"/>
        <v>-8504</v>
      </c>
      <c r="G277" s="153">
        <v>700580.7763256744</v>
      </c>
      <c r="H277" s="153">
        <v>53016</v>
      </c>
      <c r="I277" s="153">
        <v>55974</v>
      </c>
      <c r="J277" s="153">
        <v>51681</v>
      </c>
      <c r="K277" s="153">
        <v>55423</v>
      </c>
      <c r="L277" s="153">
        <f aca="true" t="shared" si="129" ref="L277:S277">K277*L20</f>
        <v>55700.11499999999</v>
      </c>
      <c r="M277" s="153">
        <f t="shared" si="129"/>
        <v>55867.21534499998</v>
      </c>
      <c r="N277" s="153">
        <f t="shared" si="129"/>
        <v>56146.55142172497</v>
      </c>
      <c r="O277" s="153">
        <f t="shared" si="129"/>
        <v>55921.96521603807</v>
      </c>
      <c r="P277" s="153">
        <f t="shared" si="129"/>
        <v>56089.73111168618</v>
      </c>
      <c r="Q277" s="153">
        <f t="shared" si="129"/>
        <v>56258.00030502123</v>
      </c>
      <c r="R277" s="153">
        <f t="shared" si="129"/>
        <v>56426.77430593629</v>
      </c>
      <c r="S277" s="153">
        <f t="shared" si="129"/>
        <v>56483.20108024222</v>
      </c>
      <c r="T277" s="153">
        <f>SUM(H277:S277)</f>
        <v>664987.5537856488</v>
      </c>
      <c r="U277" s="153">
        <v>691660</v>
      </c>
      <c r="V277" s="129">
        <f>+U277/E277*100</f>
        <v>104.89996238731361</v>
      </c>
      <c r="W277" s="130">
        <f>+V277/W$17*100-100</f>
        <v>-3.585575443310063E-05</v>
      </c>
      <c r="X277" s="129">
        <f t="shared" si="104"/>
        <v>104.89996238731361</v>
      </c>
      <c r="Y277" s="493">
        <f t="shared" si="101"/>
        <v>-8920.776325674378</v>
      </c>
    </row>
    <row r="278" spans="1:30" ht="15.75">
      <c r="A278" s="136">
        <v>413310</v>
      </c>
      <c r="B278" s="137"/>
      <c r="C278" s="527" t="s">
        <v>188</v>
      </c>
      <c r="D278" s="549">
        <v>0</v>
      </c>
      <c r="E278" s="178">
        <f>SUM(E279:E282)</f>
        <v>0</v>
      </c>
      <c r="F278" s="178">
        <f t="shared" si="105"/>
        <v>0</v>
      </c>
      <c r="G278" s="178">
        <v>3431000</v>
      </c>
      <c r="H278" s="178">
        <f aca="true" t="shared" si="130" ref="H278:T278">SUM(H279:H282)</f>
        <v>278700</v>
      </c>
      <c r="I278" s="178">
        <f t="shared" si="130"/>
        <v>316863</v>
      </c>
      <c r="J278" s="178">
        <f t="shared" si="130"/>
        <v>184097</v>
      </c>
      <c r="K278" s="178">
        <f t="shared" si="130"/>
        <v>273215</v>
      </c>
      <c r="L278" s="178">
        <f t="shared" si="130"/>
        <v>273215</v>
      </c>
      <c r="M278" s="178">
        <f t="shared" si="130"/>
        <v>274920.95999999996</v>
      </c>
      <c r="N278" s="178">
        <f t="shared" si="130"/>
        <v>281793.98399999994</v>
      </c>
      <c r="O278" s="178">
        <f t="shared" si="130"/>
        <v>281793.98399999994</v>
      </c>
      <c r="P278" s="178">
        <f t="shared" si="130"/>
        <v>281793.98399999994</v>
      </c>
      <c r="Q278" s="178">
        <f t="shared" si="130"/>
        <v>281793.98399999994</v>
      </c>
      <c r="R278" s="178">
        <f t="shared" si="130"/>
        <v>281793.98399999994</v>
      </c>
      <c r="S278" s="178">
        <f t="shared" si="130"/>
        <v>281793.98399999994</v>
      </c>
      <c r="T278" s="178">
        <f t="shared" si="130"/>
        <v>3291774.8640000005</v>
      </c>
      <c r="U278" s="234">
        <v>3431000</v>
      </c>
      <c r="V278" s="129"/>
      <c r="W278" s="129"/>
      <c r="X278" s="129"/>
      <c r="Y278" s="511">
        <f t="shared" si="101"/>
        <v>0</v>
      </c>
      <c r="Z278" s="20"/>
      <c r="AA278" s="20"/>
      <c r="AB278" s="21"/>
      <c r="AC278" s="21"/>
      <c r="AD278" s="426"/>
    </row>
    <row r="279" spans="1:30" ht="15.75">
      <c r="A279" s="136">
        <v>4133101</v>
      </c>
      <c r="B279" s="137"/>
      <c r="C279" s="235" t="s">
        <v>285</v>
      </c>
      <c r="D279" s="550"/>
      <c r="E279" s="236"/>
      <c r="F279" s="236"/>
      <c r="G279" s="236"/>
      <c r="H279" s="237">
        <v>76654</v>
      </c>
      <c r="I279" s="237">
        <v>89062</v>
      </c>
      <c r="J279" s="237">
        <v>60179</v>
      </c>
      <c r="K279" s="237">
        <v>64101</v>
      </c>
      <c r="L279" s="237">
        <f aca="true" t="shared" si="131" ref="L279:S280">K279*L28</f>
        <v>64101</v>
      </c>
      <c r="M279" s="237">
        <f t="shared" si="131"/>
        <v>64101</v>
      </c>
      <c r="N279" s="237">
        <f t="shared" si="131"/>
        <v>65703.525</v>
      </c>
      <c r="O279" s="237">
        <f t="shared" si="131"/>
        <v>65703.525</v>
      </c>
      <c r="P279" s="237">
        <f t="shared" si="131"/>
        <v>65703.525</v>
      </c>
      <c r="Q279" s="237">
        <f t="shared" si="131"/>
        <v>65703.525</v>
      </c>
      <c r="R279" s="237">
        <f t="shared" si="131"/>
        <v>65703.525</v>
      </c>
      <c r="S279" s="237">
        <f t="shared" si="131"/>
        <v>65703.525</v>
      </c>
      <c r="T279" s="238">
        <f>SUM(H279:S279)</f>
        <v>812419.1500000001</v>
      </c>
      <c r="U279" s="236">
        <f>+U278*0.2781</f>
        <v>954161.1000000001</v>
      </c>
      <c r="V279" s="207"/>
      <c r="W279" s="208"/>
      <c r="X279" s="129"/>
      <c r="Y279" s="512">
        <f t="shared" si="101"/>
        <v>954161.1000000001</v>
      </c>
      <c r="Z279" s="20"/>
      <c r="AA279" s="20"/>
      <c r="AB279" s="21"/>
      <c r="AC279" s="21"/>
      <c r="AD279" s="426"/>
    </row>
    <row r="280" spans="1:30" ht="15.75">
      <c r="A280" s="136">
        <v>4133102</v>
      </c>
      <c r="B280" s="137"/>
      <c r="C280" s="235" t="s">
        <v>286</v>
      </c>
      <c r="D280" s="550"/>
      <c r="E280" s="236"/>
      <c r="F280" s="236"/>
      <c r="G280" s="236"/>
      <c r="H280" s="237">
        <v>161849</v>
      </c>
      <c r="I280" s="237">
        <v>189338</v>
      </c>
      <c r="J280" s="237">
        <v>88343</v>
      </c>
      <c r="K280" s="237">
        <v>170596</v>
      </c>
      <c r="L280" s="237">
        <f t="shared" si="131"/>
        <v>170596</v>
      </c>
      <c r="M280" s="237">
        <f t="shared" si="131"/>
        <v>172301.96</v>
      </c>
      <c r="N280" s="237">
        <f t="shared" si="131"/>
        <v>176609.50899999996</v>
      </c>
      <c r="O280" s="237">
        <f t="shared" si="131"/>
        <v>176609.50899999996</v>
      </c>
      <c r="P280" s="237">
        <f t="shared" si="131"/>
        <v>176609.50899999996</v>
      </c>
      <c r="Q280" s="237">
        <f t="shared" si="131"/>
        <v>176609.50899999996</v>
      </c>
      <c r="R280" s="237">
        <f t="shared" si="131"/>
        <v>176609.50899999996</v>
      </c>
      <c r="S280" s="237">
        <f t="shared" si="131"/>
        <v>176609.50899999996</v>
      </c>
      <c r="T280" s="238">
        <f>SUM(H280:S280)</f>
        <v>2012681.0140000004</v>
      </c>
      <c r="U280" s="236">
        <f>+U278*0.5897</f>
        <v>2023260.7</v>
      </c>
      <c r="V280" s="207"/>
      <c r="W280" s="208"/>
      <c r="X280" s="129"/>
      <c r="Y280" s="512">
        <f t="shared" si="101"/>
        <v>2023260.7</v>
      </c>
      <c r="Z280" s="20"/>
      <c r="AA280" s="20"/>
      <c r="AB280" s="21"/>
      <c r="AC280" s="21"/>
      <c r="AD280" s="426"/>
    </row>
    <row r="281" spans="1:30" ht="15.75">
      <c r="A281" s="136">
        <v>4133103</v>
      </c>
      <c r="B281" s="137"/>
      <c r="C281" s="239" t="s">
        <v>287</v>
      </c>
      <c r="D281" s="557"/>
      <c r="E281" s="236"/>
      <c r="F281" s="236"/>
      <c r="G281" s="236"/>
      <c r="H281" s="237">
        <v>36</v>
      </c>
      <c r="I281" s="237">
        <v>61</v>
      </c>
      <c r="J281" s="237">
        <v>166</v>
      </c>
      <c r="K281" s="237">
        <v>96</v>
      </c>
      <c r="L281" s="237">
        <f aca="true" t="shared" si="132" ref="L281:S281">K281*L27</f>
        <v>96</v>
      </c>
      <c r="M281" s="237">
        <f t="shared" si="132"/>
        <v>96</v>
      </c>
      <c r="N281" s="237">
        <f t="shared" si="132"/>
        <v>98.39999999999999</v>
      </c>
      <c r="O281" s="237">
        <f t="shared" si="132"/>
        <v>98.39999999999999</v>
      </c>
      <c r="P281" s="237">
        <f t="shared" si="132"/>
        <v>98.39999999999999</v>
      </c>
      <c r="Q281" s="237">
        <f t="shared" si="132"/>
        <v>98.39999999999999</v>
      </c>
      <c r="R281" s="237">
        <f t="shared" si="132"/>
        <v>98.39999999999999</v>
      </c>
      <c r="S281" s="237">
        <f t="shared" si="132"/>
        <v>98.39999999999999</v>
      </c>
      <c r="T281" s="238">
        <f>SUM(H281:S281)</f>
        <v>1141.4</v>
      </c>
      <c r="U281" s="236">
        <f>+U278*0.0003</f>
        <v>1029.3</v>
      </c>
      <c r="V281" s="207"/>
      <c r="W281" s="208"/>
      <c r="X281" s="129"/>
      <c r="Y281" s="512">
        <f t="shared" si="101"/>
        <v>1029.3</v>
      </c>
      <c r="Z281" s="20"/>
      <c r="AA281" s="20"/>
      <c r="AB281" s="21"/>
      <c r="AC281" s="21"/>
      <c r="AD281" s="426"/>
    </row>
    <row r="282" spans="1:30" ht="15.75">
      <c r="A282" s="136">
        <v>4133105</v>
      </c>
      <c r="B282" s="173"/>
      <c r="C282" s="235" t="s">
        <v>288</v>
      </c>
      <c r="D282" s="550"/>
      <c r="E282" s="240"/>
      <c r="F282" s="240"/>
      <c r="G282" s="242"/>
      <c r="H282" s="241">
        <v>40161</v>
      </c>
      <c r="I282" s="241">
        <v>38402</v>
      </c>
      <c r="J282" s="241">
        <v>35409</v>
      </c>
      <c r="K282" s="241">
        <v>38422</v>
      </c>
      <c r="L282" s="241">
        <f aca="true" t="shared" si="133" ref="L282:S282">K282*L27</f>
        <v>38422</v>
      </c>
      <c r="M282" s="241">
        <f t="shared" si="133"/>
        <v>38422</v>
      </c>
      <c r="N282" s="241">
        <f t="shared" si="133"/>
        <v>39382.549999999996</v>
      </c>
      <c r="O282" s="241">
        <f t="shared" si="133"/>
        <v>39382.549999999996</v>
      </c>
      <c r="P282" s="241">
        <f t="shared" si="133"/>
        <v>39382.549999999996</v>
      </c>
      <c r="Q282" s="241">
        <f t="shared" si="133"/>
        <v>39382.549999999996</v>
      </c>
      <c r="R282" s="241">
        <f t="shared" si="133"/>
        <v>39382.549999999996</v>
      </c>
      <c r="S282" s="241">
        <f t="shared" si="133"/>
        <v>39382.549999999996</v>
      </c>
      <c r="T282" s="238">
        <f>SUM(H282:S282)</f>
        <v>465533.29999999993</v>
      </c>
      <c r="U282" s="242">
        <f>+U278*0.1319</f>
        <v>452548.89999999997</v>
      </c>
      <c r="V282" s="243"/>
      <c r="W282" s="244"/>
      <c r="X282" s="129"/>
      <c r="Y282" s="513">
        <f t="shared" si="101"/>
        <v>452548.89999999997</v>
      </c>
      <c r="Z282" s="20"/>
      <c r="AA282" s="20"/>
      <c r="AD282" s="426"/>
    </row>
    <row r="283" spans="1:33" ht="15.75">
      <c r="A283" s="172"/>
      <c r="B283" s="173"/>
      <c r="C283" s="235"/>
      <c r="D283" s="550"/>
      <c r="E283" s="245"/>
      <c r="F283" s="245"/>
      <c r="G283" s="246"/>
      <c r="H283" s="246"/>
      <c r="I283" s="246"/>
      <c r="J283" s="246"/>
      <c r="K283" s="246"/>
      <c r="L283" s="246"/>
      <c r="M283" s="246"/>
      <c r="N283" s="246"/>
      <c r="O283" s="246"/>
      <c r="P283" s="246"/>
      <c r="Q283" s="246"/>
      <c r="R283" s="246"/>
      <c r="S283" s="246"/>
      <c r="T283" s="423"/>
      <c r="U283" s="246"/>
      <c r="V283" s="243"/>
      <c r="W283" s="244"/>
      <c r="X283" s="244"/>
      <c r="Y283" s="514"/>
      <c r="Z283" s="20"/>
      <c r="AA283" s="24"/>
      <c r="AB283" s="424"/>
      <c r="AC283" s="24"/>
      <c r="AD283" s="24"/>
      <c r="AE283" s="24"/>
      <c r="AF283" s="424"/>
      <c r="AG283" s="424"/>
    </row>
    <row r="284" spans="1:33" ht="15.75">
      <c r="A284" s="131">
        <v>4134</v>
      </c>
      <c r="B284" s="132"/>
      <c r="C284" s="461" t="s">
        <v>189</v>
      </c>
      <c r="D284" s="212">
        <f aca="true" t="shared" si="134" ref="D284:U284">+D285+D287</f>
        <v>7721</v>
      </c>
      <c r="E284" s="212">
        <f t="shared" si="134"/>
        <v>6571</v>
      </c>
      <c r="F284" s="212">
        <f t="shared" si="105"/>
        <v>-1150</v>
      </c>
      <c r="G284" s="212">
        <f>+G285+G287</f>
        <v>8299.790168</v>
      </c>
      <c r="H284" s="212">
        <f t="shared" si="134"/>
        <v>625</v>
      </c>
      <c r="I284" s="212">
        <f t="shared" si="134"/>
        <v>564</v>
      </c>
      <c r="J284" s="212">
        <f t="shared" si="134"/>
        <v>569</v>
      </c>
      <c r="K284" s="212">
        <f t="shared" si="134"/>
        <v>626</v>
      </c>
      <c r="L284" s="212">
        <f t="shared" si="134"/>
        <v>579.05</v>
      </c>
      <c r="M284" s="212">
        <f t="shared" si="134"/>
        <v>683.279</v>
      </c>
      <c r="N284" s="212">
        <f t="shared" si="134"/>
        <v>614.9511</v>
      </c>
      <c r="O284" s="212">
        <f t="shared" si="134"/>
        <v>614.9511</v>
      </c>
      <c r="P284" s="212">
        <f t="shared" si="134"/>
        <v>707.193765</v>
      </c>
      <c r="Q284" s="212">
        <f t="shared" si="134"/>
        <v>820.3447673999999</v>
      </c>
      <c r="R284" s="212">
        <f t="shared" si="134"/>
        <v>664.479261594</v>
      </c>
      <c r="S284" s="212">
        <f t="shared" si="134"/>
        <v>923.6261736156599</v>
      </c>
      <c r="T284" s="212">
        <f t="shared" si="134"/>
        <v>7991.87516760966</v>
      </c>
      <c r="U284" s="212">
        <f t="shared" si="134"/>
        <v>7063.825</v>
      </c>
      <c r="V284" s="129">
        <f>+U284/E284*100</f>
        <v>107.5</v>
      </c>
      <c r="W284" s="130">
        <f>+V284/W$17*100-100</f>
        <v>2.4785510009532885</v>
      </c>
      <c r="X284" s="129">
        <f t="shared" si="104"/>
        <v>107.5</v>
      </c>
      <c r="Y284" s="506">
        <f t="shared" si="101"/>
        <v>-1235.9651679999997</v>
      </c>
      <c r="Z284" s="23"/>
      <c r="AA284" s="425"/>
      <c r="AB284" s="424"/>
      <c r="AC284" s="424"/>
      <c r="AD284" s="424"/>
      <c r="AE284" s="424"/>
      <c r="AF284" s="424"/>
      <c r="AG284" s="424"/>
    </row>
    <row r="285" spans="1:33" ht="15.75">
      <c r="A285" s="136">
        <v>413404</v>
      </c>
      <c r="B285" s="162"/>
      <c r="C285" s="520" t="s">
        <v>190</v>
      </c>
      <c r="D285" s="153">
        <v>2678</v>
      </c>
      <c r="E285" s="181">
        <v>2294</v>
      </c>
      <c r="F285" s="181">
        <f t="shared" si="105"/>
        <v>-384</v>
      </c>
      <c r="G285" s="125">
        <v>2878.6791696</v>
      </c>
      <c r="H285" s="125">
        <v>220</v>
      </c>
      <c r="I285" s="125">
        <v>199</v>
      </c>
      <c r="J285" s="125">
        <v>201</v>
      </c>
      <c r="K285" s="125">
        <v>220</v>
      </c>
      <c r="L285" s="125">
        <f aca="true" t="shared" si="135" ref="L285:S285">K285*L38</f>
        <v>203.5</v>
      </c>
      <c r="M285" s="125">
        <f t="shared" si="135"/>
        <v>240.13</v>
      </c>
      <c r="N285" s="125">
        <f t="shared" si="135"/>
        <v>216.117</v>
      </c>
      <c r="O285" s="125">
        <f t="shared" si="135"/>
        <v>216.117</v>
      </c>
      <c r="P285" s="125">
        <f t="shared" si="135"/>
        <v>248.53454999999997</v>
      </c>
      <c r="Q285" s="125">
        <f t="shared" si="135"/>
        <v>288.3000779999999</v>
      </c>
      <c r="R285" s="125">
        <f t="shared" si="135"/>
        <v>233.52306317999995</v>
      </c>
      <c r="S285" s="125">
        <f t="shared" si="135"/>
        <v>324.5970578201999</v>
      </c>
      <c r="T285" s="125">
        <f>SUM(H285:S285)</f>
        <v>2810.8187490001997</v>
      </c>
      <c r="U285" s="125">
        <v>2466.05</v>
      </c>
      <c r="V285" s="129">
        <f>+U285/E285*100</f>
        <v>107.50000000000001</v>
      </c>
      <c r="W285" s="130">
        <f>+V285/W$17*100-100</f>
        <v>2.4785510009532885</v>
      </c>
      <c r="X285" s="129">
        <f t="shared" si="104"/>
        <v>107.50000000000001</v>
      </c>
      <c r="Y285" s="486">
        <f t="shared" si="101"/>
        <v>-412.62916959999984</v>
      </c>
      <c r="AA285" s="425"/>
      <c r="AB285" s="424"/>
      <c r="AC285" s="424"/>
      <c r="AD285" s="424"/>
      <c r="AE285" s="424"/>
      <c r="AF285" s="424"/>
      <c r="AG285" s="424"/>
    </row>
    <row r="286" spans="1:33" ht="15.75">
      <c r="A286" s="136"/>
      <c r="B286" s="162"/>
      <c r="C286" s="520" t="s">
        <v>191</v>
      </c>
      <c r="D286" s="153"/>
      <c r="E286" s="181"/>
      <c r="F286" s="181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9"/>
      <c r="W286" s="130"/>
      <c r="X286" s="130"/>
      <c r="Y286" s="486"/>
      <c r="AA286" s="425"/>
      <c r="AB286" s="424"/>
      <c r="AC286" s="424"/>
      <c r="AD286" s="424"/>
      <c r="AE286" s="424"/>
      <c r="AF286" s="424"/>
      <c r="AG286" s="424"/>
    </row>
    <row r="287" spans="1:33" ht="15.75">
      <c r="A287" s="136">
        <v>413405</v>
      </c>
      <c r="B287" s="162"/>
      <c r="C287" s="520" t="s">
        <v>192</v>
      </c>
      <c r="D287" s="153">
        <v>5043</v>
      </c>
      <c r="E287" s="181">
        <v>4277</v>
      </c>
      <c r="F287" s="181">
        <f t="shared" si="105"/>
        <v>-766</v>
      </c>
      <c r="G287" s="125">
        <v>5421.1109983999995</v>
      </c>
      <c r="H287" s="125">
        <v>405</v>
      </c>
      <c r="I287" s="125">
        <v>365</v>
      </c>
      <c r="J287" s="125">
        <v>368</v>
      </c>
      <c r="K287" s="125">
        <v>406</v>
      </c>
      <c r="L287" s="125">
        <f aca="true" t="shared" si="136" ref="L287:S287">K287*L38</f>
        <v>375.55</v>
      </c>
      <c r="M287" s="125">
        <f t="shared" si="136"/>
        <v>443.149</v>
      </c>
      <c r="N287" s="125">
        <f t="shared" si="136"/>
        <v>398.83410000000003</v>
      </c>
      <c r="O287" s="125">
        <f t="shared" si="136"/>
        <v>398.83410000000003</v>
      </c>
      <c r="P287" s="125">
        <f t="shared" si="136"/>
        <v>458.659215</v>
      </c>
      <c r="Q287" s="125">
        <f t="shared" si="136"/>
        <v>532.0446894</v>
      </c>
      <c r="R287" s="125">
        <f t="shared" si="136"/>
        <v>430.9561984140001</v>
      </c>
      <c r="S287" s="125">
        <f t="shared" si="136"/>
        <v>599.02911579546</v>
      </c>
      <c r="T287" s="125">
        <f>SUM(H287:S287)</f>
        <v>5181.05641860946</v>
      </c>
      <c r="U287" s="125">
        <v>4597.775</v>
      </c>
      <c r="V287" s="129">
        <f>+U287/E287*100</f>
        <v>107.5</v>
      </c>
      <c r="W287" s="130">
        <f>+V287/W$17*100-100</f>
        <v>2.4785510009532885</v>
      </c>
      <c r="X287" s="129">
        <f t="shared" si="104"/>
        <v>107.5</v>
      </c>
      <c r="Y287" s="486">
        <f t="shared" si="101"/>
        <v>-823.3359983999999</v>
      </c>
      <c r="AA287" s="425"/>
      <c r="AB287" s="424"/>
      <c r="AC287" s="424"/>
      <c r="AD287" s="425"/>
      <c r="AE287" s="425"/>
      <c r="AF287" s="425"/>
      <c r="AG287" s="425"/>
    </row>
    <row r="288" spans="1:29" ht="15.75">
      <c r="A288" s="136"/>
      <c r="B288" s="162"/>
      <c r="C288" s="520" t="s">
        <v>191</v>
      </c>
      <c r="D288" s="153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9"/>
      <c r="W288" s="130"/>
      <c r="X288" s="130"/>
      <c r="Y288" s="486"/>
      <c r="AB288" s="23"/>
      <c r="AC288" s="23"/>
    </row>
    <row r="289" spans="1:29" ht="15.75">
      <c r="A289" s="136"/>
      <c r="B289" s="137"/>
      <c r="C289" s="525"/>
      <c r="D289" s="228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9"/>
      <c r="W289" s="130"/>
      <c r="X289" s="130"/>
      <c r="Y289" s="486"/>
      <c r="AB289" s="23"/>
      <c r="AC289" s="23"/>
    </row>
    <row r="290" spans="1:29" ht="15.75">
      <c r="A290" s="131">
        <v>4135</v>
      </c>
      <c r="B290" s="132"/>
      <c r="C290" s="461" t="s">
        <v>284</v>
      </c>
      <c r="D290" s="234">
        <f>+D291+D298+D299+D300</f>
        <v>0</v>
      </c>
      <c r="E290" s="234">
        <f>+E291+E298+E299+E300</f>
        <v>44674456.6476</v>
      </c>
      <c r="F290" s="234">
        <f t="shared" si="105"/>
        <v>44674456.6476</v>
      </c>
      <c r="G290" s="234">
        <f>+G291+G298+G299+G300</f>
        <v>0</v>
      </c>
      <c r="H290" s="234">
        <f>+H291+H298+H299+H300</f>
        <v>2681627</v>
      </c>
      <c r="I290" s="234">
        <f>+I291+I298+I299+I300</f>
        <v>3300429</v>
      </c>
      <c r="J290" s="234">
        <f>+J291+J298+J299+J300</f>
        <v>5040536</v>
      </c>
      <c r="K290" s="234">
        <f>+K291+K298+K299+K300</f>
        <v>4411884</v>
      </c>
      <c r="L290" s="234">
        <f aca="true" t="shared" si="137" ref="L290:U290">+L291+L298+L299+L300</f>
        <v>4042932.5199999996</v>
      </c>
      <c r="M290" s="234">
        <f t="shared" si="137"/>
        <v>4061199.0437649996</v>
      </c>
      <c r="N290" s="234">
        <f t="shared" si="137"/>
        <v>4090401.5129088243</v>
      </c>
      <c r="O290" s="234">
        <f t="shared" si="137"/>
        <v>3905243.1761227883</v>
      </c>
      <c r="P290" s="234">
        <f t="shared" si="137"/>
        <v>3806233.090673252</v>
      </c>
      <c r="Q290" s="234">
        <f t="shared" si="137"/>
        <v>4152679.615440407</v>
      </c>
      <c r="R290" s="234">
        <f t="shared" si="137"/>
        <v>4186676.6441262024</v>
      </c>
      <c r="S290" s="234">
        <f t="shared" si="137"/>
        <v>4294466.577857448</v>
      </c>
      <c r="T290" s="234">
        <f t="shared" si="137"/>
        <v>47974308.18089392</v>
      </c>
      <c r="U290" s="234">
        <f t="shared" si="137"/>
        <v>48390959.2434</v>
      </c>
      <c r="V290" s="564">
        <f aca="true" t="shared" si="138" ref="V290:V299">+U290/E290*100</f>
        <v>108.31907733118373</v>
      </c>
      <c r="W290" s="565">
        <f aca="true" t="shared" si="139" ref="W290:W296">+V290/W$17*100-100</f>
        <v>3.2593682852085237</v>
      </c>
      <c r="X290" s="564">
        <f t="shared" si="104"/>
        <v>108.31907733118373</v>
      </c>
      <c r="Y290" s="511">
        <f t="shared" si="101"/>
        <v>48390959.2434</v>
      </c>
      <c r="AB290" s="23"/>
      <c r="AC290" s="23"/>
    </row>
    <row r="291" spans="1:29" ht="15.75">
      <c r="A291" s="131">
        <v>413500</v>
      </c>
      <c r="B291" s="247"/>
      <c r="C291" s="522" t="s">
        <v>284</v>
      </c>
      <c r="D291" s="419"/>
      <c r="E291" s="234">
        <f>+E292+E293+E294+E296+E297</f>
        <v>28331141.945100002</v>
      </c>
      <c r="F291" s="234">
        <f t="shared" si="105"/>
        <v>28331141.945100002</v>
      </c>
      <c r="G291" s="125"/>
      <c r="H291" s="125">
        <f aca="true" t="shared" si="140" ref="H291:U291">SUM(H292:H297)</f>
        <v>1458461</v>
      </c>
      <c r="I291" s="125">
        <f t="shared" si="140"/>
        <v>1843687</v>
      </c>
      <c r="J291" s="125">
        <f t="shared" si="140"/>
        <v>3485870</v>
      </c>
      <c r="K291" s="125">
        <f t="shared" si="140"/>
        <v>2957008</v>
      </c>
      <c r="L291" s="125">
        <f t="shared" si="140"/>
        <v>2600197.255</v>
      </c>
      <c r="M291" s="125">
        <f t="shared" si="140"/>
        <v>2606607.2987649995</v>
      </c>
      <c r="N291" s="125">
        <f t="shared" si="140"/>
        <v>2627310.655258824</v>
      </c>
      <c r="O291" s="125">
        <f t="shared" si="140"/>
        <v>2618695.428237789</v>
      </c>
      <c r="P291" s="125">
        <f t="shared" si="140"/>
        <v>2625131.002822502</v>
      </c>
      <c r="Q291" s="125">
        <f t="shared" si="140"/>
        <v>2631585.884130969</v>
      </c>
      <c r="R291" s="125">
        <f t="shared" si="140"/>
        <v>2638060.1300833616</v>
      </c>
      <c r="S291" s="125">
        <f t="shared" si="140"/>
        <v>2671437.576313445</v>
      </c>
      <c r="T291" s="125">
        <f t="shared" si="140"/>
        <v>30764051.23061189</v>
      </c>
      <c r="U291" s="125">
        <f t="shared" si="140"/>
        <v>30948033.184699997</v>
      </c>
      <c r="V291" s="129">
        <f t="shared" si="138"/>
        <v>109.23680113096394</v>
      </c>
      <c r="W291" s="130">
        <f t="shared" si="139"/>
        <v>4.134224147725391</v>
      </c>
      <c r="X291" s="129">
        <f t="shared" si="104"/>
        <v>109.23680113096394</v>
      </c>
      <c r="Y291" s="486">
        <f t="shared" si="101"/>
        <v>30948033.184699997</v>
      </c>
      <c r="AB291" s="23"/>
      <c r="AC291" s="23"/>
    </row>
    <row r="292" spans="1:25" ht="15">
      <c r="A292" s="163">
        <v>4135001</v>
      </c>
      <c r="B292" s="221"/>
      <c r="C292" s="249" t="s">
        <v>285</v>
      </c>
      <c r="D292" s="552"/>
      <c r="E292" s="181">
        <f>66817212*0.2487</f>
        <v>16617440.624400001</v>
      </c>
      <c r="F292" s="181">
        <f t="shared" si="105"/>
        <v>16617440.624400001</v>
      </c>
      <c r="G292" s="125"/>
      <c r="H292" s="125">
        <v>837839</v>
      </c>
      <c r="I292" s="125">
        <v>1127116</v>
      </c>
      <c r="J292" s="125">
        <v>2020557</v>
      </c>
      <c r="K292" s="125">
        <v>1476242</v>
      </c>
      <c r="L292" s="125">
        <f aca="true" t="shared" si="141" ref="L292:S292">K292*L20</f>
        <v>1483623.2099999997</v>
      </c>
      <c r="M292" s="125">
        <f t="shared" si="141"/>
        <v>1488074.0796299996</v>
      </c>
      <c r="N292" s="125">
        <f t="shared" si="141"/>
        <v>1495514.4500281494</v>
      </c>
      <c r="O292" s="125">
        <f t="shared" si="141"/>
        <v>1489532.392228037</v>
      </c>
      <c r="P292" s="125">
        <f t="shared" si="141"/>
        <v>1494000.9894047207</v>
      </c>
      <c r="Q292" s="125">
        <f t="shared" si="141"/>
        <v>1498482.9923729347</v>
      </c>
      <c r="R292" s="125">
        <f t="shared" si="141"/>
        <v>1502978.4413500533</v>
      </c>
      <c r="S292" s="125">
        <f t="shared" si="141"/>
        <v>1504481.4197914032</v>
      </c>
      <c r="T292" s="125">
        <f aca="true" t="shared" si="142" ref="T292:T300">SUM(H292:S292)</f>
        <v>17418441.9748053</v>
      </c>
      <c r="U292" s="181">
        <f>70769201*0.2487</f>
        <v>17600300.2887</v>
      </c>
      <c r="V292" s="129">
        <f t="shared" si="138"/>
        <v>105.91462720713338</v>
      </c>
      <c r="W292" s="130">
        <f t="shared" si="139"/>
        <v>0.9672327999364967</v>
      </c>
      <c r="X292" s="129">
        <f t="shared" si="104"/>
        <v>105.91462720713338</v>
      </c>
      <c r="Y292" s="492">
        <f t="shared" si="101"/>
        <v>17600300.2887</v>
      </c>
    </row>
    <row r="293" spans="1:25" ht="15">
      <c r="A293" s="163">
        <v>4135002</v>
      </c>
      <c r="B293" s="192"/>
      <c r="C293" s="235" t="s">
        <v>286</v>
      </c>
      <c r="D293" s="553"/>
      <c r="E293" s="181">
        <f>165202142*0.0437</f>
        <v>7219333.605400001</v>
      </c>
      <c r="F293" s="181">
        <f t="shared" si="105"/>
        <v>7219333.605400001</v>
      </c>
      <c r="G293" s="125"/>
      <c r="H293" s="125">
        <v>333572</v>
      </c>
      <c r="I293" s="125">
        <v>426116</v>
      </c>
      <c r="J293" s="125">
        <v>1066921</v>
      </c>
      <c r="K293" s="125">
        <v>649809</v>
      </c>
      <c r="L293" s="125">
        <f aca="true" t="shared" si="143" ref="L293:S293">K293*L20</f>
        <v>653058.0449999999</v>
      </c>
      <c r="M293" s="125">
        <f t="shared" si="143"/>
        <v>655017.2191349999</v>
      </c>
      <c r="N293" s="125">
        <f t="shared" si="143"/>
        <v>658292.3052306748</v>
      </c>
      <c r="O293" s="125">
        <f t="shared" si="143"/>
        <v>655659.136009752</v>
      </c>
      <c r="P293" s="125">
        <f t="shared" si="143"/>
        <v>657626.1134177812</v>
      </c>
      <c r="Q293" s="125">
        <f t="shared" si="143"/>
        <v>659598.9917580344</v>
      </c>
      <c r="R293" s="125">
        <f t="shared" si="143"/>
        <v>661577.7887333084</v>
      </c>
      <c r="S293" s="125">
        <f t="shared" si="143"/>
        <v>662239.3665220416</v>
      </c>
      <c r="T293" s="125">
        <f t="shared" si="142"/>
        <v>7739486.965806592</v>
      </c>
      <c r="U293" s="181">
        <f>177382349*0.0437</f>
        <v>7751608.6513</v>
      </c>
      <c r="V293" s="129">
        <f t="shared" si="138"/>
        <v>107.37291106068103</v>
      </c>
      <c r="W293" s="130">
        <f t="shared" si="139"/>
        <v>2.3573985325843836</v>
      </c>
      <c r="X293" s="129">
        <f t="shared" si="104"/>
        <v>107.37291106068103</v>
      </c>
      <c r="Y293" s="492">
        <f t="shared" si="101"/>
        <v>7751608.6513</v>
      </c>
    </row>
    <row r="294" spans="1:25" ht="15">
      <c r="A294" s="163">
        <v>4135003</v>
      </c>
      <c r="B294" s="223"/>
      <c r="C294" s="239" t="s">
        <v>287</v>
      </c>
      <c r="D294" s="551"/>
      <c r="E294" s="181">
        <f>3533005*0.9825</f>
        <v>3471177.4125</v>
      </c>
      <c r="F294" s="181">
        <f t="shared" si="105"/>
        <v>3471177.4125</v>
      </c>
      <c r="G294" s="125"/>
      <c r="H294" s="125">
        <v>193549</v>
      </c>
      <c r="I294" s="125">
        <v>217229</v>
      </c>
      <c r="J294" s="125">
        <v>304016</v>
      </c>
      <c r="K294" s="125">
        <v>304516</v>
      </c>
      <c r="L294" s="125">
        <f aca="true" t="shared" si="144" ref="L294:R294">K294*L27</f>
        <v>304516</v>
      </c>
      <c r="M294" s="125">
        <f t="shared" si="144"/>
        <v>304516</v>
      </c>
      <c r="N294" s="125">
        <f t="shared" si="144"/>
        <v>312128.89999999997</v>
      </c>
      <c r="O294" s="125">
        <f t="shared" si="144"/>
        <v>312128.89999999997</v>
      </c>
      <c r="P294" s="125">
        <f t="shared" si="144"/>
        <v>312128.89999999997</v>
      </c>
      <c r="Q294" s="125">
        <f t="shared" si="144"/>
        <v>312128.89999999997</v>
      </c>
      <c r="R294" s="125">
        <f t="shared" si="144"/>
        <v>312128.89999999997</v>
      </c>
      <c r="S294" s="125">
        <f>R294*S27*1.1</f>
        <v>343341.79</v>
      </c>
      <c r="T294" s="125">
        <f t="shared" si="142"/>
        <v>3532328.2899999996</v>
      </c>
      <c r="U294" s="181">
        <f>3678684*0.9825</f>
        <v>3614307.0300000003</v>
      </c>
      <c r="V294" s="129">
        <f t="shared" si="138"/>
        <v>104.12337372859648</v>
      </c>
      <c r="W294" s="130">
        <f t="shared" si="139"/>
        <v>-0.7403491624437919</v>
      </c>
      <c r="X294" s="129">
        <f t="shared" si="104"/>
        <v>104.12337372859648</v>
      </c>
      <c r="Y294" s="492">
        <f aca="true" t="shared" si="145" ref="Y294:Y314">+U294-G294</f>
        <v>3614307.0300000003</v>
      </c>
    </row>
    <row r="295" spans="1:25" ht="15">
      <c r="A295" s="163">
        <v>4135001</v>
      </c>
      <c r="B295" s="192"/>
      <c r="C295" s="218" t="s">
        <v>172</v>
      </c>
      <c r="D295" s="176"/>
      <c r="E295" s="181">
        <v>0</v>
      </c>
      <c r="F295" s="181">
        <f t="shared" si="105"/>
        <v>0</v>
      </c>
      <c r="G295" s="125"/>
      <c r="H295" s="125"/>
      <c r="I295" s="125"/>
      <c r="J295" s="125"/>
      <c r="K295" s="125"/>
      <c r="L295" s="125">
        <f>K295*L28</f>
        <v>0</v>
      </c>
      <c r="M295" s="125"/>
      <c r="N295" s="125">
        <f>M295*N28</f>
        <v>0</v>
      </c>
      <c r="O295" s="125"/>
      <c r="P295" s="125">
        <f>O295*P28</f>
        <v>0</v>
      </c>
      <c r="Q295" s="125"/>
      <c r="R295" s="125">
        <f>Q295*R28</f>
        <v>0</v>
      </c>
      <c r="S295" s="125"/>
      <c r="T295" s="125">
        <f t="shared" si="142"/>
        <v>0</v>
      </c>
      <c r="U295" s="125">
        <v>0</v>
      </c>
      <c r="V295" s="129" t="e">
        <f t="shared" si="138"/>
        <v>#DIV/0!</v>
      </c>
      <c r="W295" s="130" t="e">
        <f t="shared" si="139"/>
        <v>#DIV/0!</v>
      </c>
      <c r="X295" s="129"/>
      <c r="Y295" s="486">
        <f t="shared" si="145"/>
        <v>0</v>
      </c>
    </row>
    <row r="296" spans="1:25" ht="15">
      <c r="A296" s="163">
        <v>4135005</v>
      </c>
      <c r="B296" s="197"/>
      <c r="C296" s="250" t="s">
        <v>288</v>
      </c>
      <c r="D296" s="550"/>
      <c r="E296" s="181">
        <f>17371652*0.0589</f>
        <v>1023190.3028000001</v>
      </c>
      <c r="F296" s="181">
        <f t="shared" si="105"/>
        <v>1023190.3028000001</v>
      </c>
      <c r="G296" s="125"/>
      <c r="H296" s="125">
        <v>93501</v>
      </c>
      <c r="I296" s="125">
        <v>72844</v>
      </c>
      <c r="J296" s="125">
        <v>94376</v>
      </c>
      <c r="K296" s="125">
        <v>115032</v>
      </c>
      <c r="L296" s="125">
        <v>95000</v>
      </c>
      <c r="M296" s="125">
        <f aca="true" t="shared" si="146" ref="M296:S296">L296*M27</f>
        <v>95000</v>
      </c>
      <c r="N296" s="125">
        <f t="shared" si="146"/>
        <v>97374.99999999999</v>
      </c>
      <c r="O296" s="125">
        <f t="shared" si="146"/>
        <v>97374.99999999999</v>
      </c>
      <c r="P296" s="125">
        <f t="shared" si="146"/>
        <v>97374.99999999999</v>
      </c>
      <c r="Q296" s="125">
        <f t="shared" si="146"/>
        <v>97374.99999999999</v>
      </c>
      <c r="R296" s="125">
        <f t="shared" si="146"/>
        <v>97374.99999999999</v>
      </c>
      <c r="S296" s="125">
        <f t="shared" si="146"/>
        <v>97374.99999999999</v>
      </c>
      <c r="T296" s="125">
        <f t="shared" si="142"/>
        <v>1150003</v>
      </c>
      <c r="U296" s="181">
        <f>(18369923-412500)*0.0589</f>
        <v>1057692.2147000001</v>
      </c>
      <c r="V296" s="129">
        <f t="shared" si="138"/>
        <v>103.37199363652923</v>
      </c>
      <c r="W296" s="130">
        <f t="shared" si="139"/>
        <v>-1.456631423709041</v>
      </c>
      <c r="X296" s="129">
        <f aca="true" t="shared" si="147" ref="X296:X314">+U296/E296*100</f>
        <v>103.37199363652923</v>
      </c>
      <c r="Y296" s="492">
        <f t="shared" si="145"/>
        <v>1057692.2147000001</v>
      </c>
    </row>
    <row r="297" spans="1:25" ht="15">
      <c r="A297" s="163">
        <v>4135006</v>
      </c>
      <c r="B297" s="197"/>
      <c r="C297" s="250" t="s">
        <v>292</v>
      </c>
      <c r="D297" s="550"/>
      <c r="E297" s="181">
        <v>0</v>
      </c>
      <c r="F297" s="181">
        <f t="shared" si="105"/>
        <v>0</v>
      </c>
      <c r="G297" s="125"/>
      <c r="H297" s="125"/>
      <c r="I297" s="125">
        <v>382</v>
      </c>
      <c r="J297" s="125"/>
      <c r="K297" s="125">
        <v>411409</v>
      </c>
      <c r="L297" s="125">
        <v>64000</v>
      </c>
      <c r="M297" s="125">
        <f aca="true" t="shared" si="148" ref="M297:S297">L297</f>
        <v>64000</v>
      </c>
      <c r="N297" s="125">
        <f t="shared" si="148"/>
        <v>64000</v>
      </c>
      <c r="O297" s="125">
        <f t="shared" si="148"/>
        <v>64000</v>
      </c>
      <c r="P297" s="125">
        <f t="shared" si="148"/>
        <v>64000</v>
      </c>
      <c r="Q297" s="125">
        <f t="shared" si="148"/>
        <v>64000</v>
      </c>
      <c r="R297" s="125">
        <f t="shared" si="148"/>
        <v>64000</v>
      </c>
      <c r="S297" s="125">
        <f t="shared" si="148"/>
        <v>64000</v>
      </c>
      <c r="T297" s="125">
        <f t="shared" si="142"/>
        <v>923791</v>
      </c>
      <c r="U297" s="181">
        <f>923791+334</f>
        <v>924125</v>
      </c>
      <c r="V297" s="129"/>
      <c r="W297" s="130"/>
      <c r="X297" s="129"/>
      <c r="Y297" s="492">
        <f t="shared" si="145"/>
        <v>924125</v>
      </c>
    </row>
    <row r="298" spans="1:25" ht="15.75">
      <c r="A298" s="573">
        <v>413501</v>
      </c>
      <c r="B298" s="197"/>
      <c r="C298" s="572" t="s">
        <v>289</v>
      </c>
      <c r="D298" s="547"/>
      <c r="E298" s="234">
        <f>(52185612+1121230+813654+3742445)*0.1669</f>
        <v>9657324.8529</v>
      </c>
      <c r="F298" s="234">
        <f t="shared" si="105"/>
        <v>9657324.8529</v>
      </c>
      <c r="G298" s="419"/>
      <c r="H298" s="418">
        <v>715576</v>
      </c>
      <c r="I298" s="418">
        <v>867652</v>
      </c>
      <c r="J298" s="125">
        <v>950268</v>
      </c>
      <c r="K298" s="125">
        <v>837351</v>
      </c>
      <c r="L298" s="125">
        <f aca="true" t="shared" si="149" ref="L298:S299">K298*L35</f>
        <v>849911.2649999999</v>
      </c>
      <c r="M298" s="125">
        <f t="shared" si="149"/>
        <v>849911.2649999999</v>
      </c>
      <c r="N298" s="125">
        <f t="shared" si="149"/>
        <v>858410.3776499999</v>
      </c>
      <c r="O298" s="125">
        <f t="shared" si="149"/>
        <v>772569.3398849999</v>
      </c>
      <c r="P298" s="125">
        <f t="shared" si="149"/>
        <v>733940.8728907498</v>
      </c>
      <c r="Q298" s="125">
        <f t="shared" si="149"/>
        <v>917426.0911134373</v>
      </c>
      <c r="R298" s="125">
        <f t="shared" si="149"/>
        <v>944948.8738468405</v>
      </c>
      <c r="S298" s="125">
        <f t="shared" si="149"/>
        <v>992196.3175391825</v>
      </c>
      <c r="T298" s="125">
        <f t="shared" si="142"/>
        <v>10290161.402925208</v>
      </c>
      <c r="U298" s="251">
        <f>62273503*0.1669</f>
        <v>10393447.6507</v>
      </c>
      <c r="V298" s="129">
        <f t="shared" si="138"/>
        <v>107.62242969986609</v>
      </c>
      <c r="W298" s="130">
        <f>+V298/W$17*100-100</f>
        <v>2.595261868318488</v>
      </c>
      <c r="X298" s="213">
        <f t="shared" si="147"/>
        <v>107.62242969986609</v>
      </c>
      <c r="Y298" s="494">
        <f t="shared" si="145"/>
        <v>10393447.6507</v>
      </c>
    </row>
    <row r="299" spans="1:25" ht="15.75">
      <c r="A299" s="573">
        <v>413502</v>
      </c>
      <c r="B299" s="197"/>
      <c r="C299" s="572" t="s">
        <v>290</v>
      </c>
      <c r="D299" s="547"/>
      <c r="E299" s="234">
        <f>10020968*0.6672</f>
        <v>6685989.8496</v>
      </c>
      <c r="F299" s="234">
        <f t="shared" si="105"/>
        <v>6685989.8496</v>
      </c>
      <c r="G299" s="125"/>
      <c r="H299" s="125">
        <v>507590</v>
      </c>
      <c r="I299" s="125">
        <v>589090</v>
      </c>
      <c r="J299" s="125">
        <v>604398</v>
      </c>
      <c r="K299" s="125">
        <v>617525</v>
      </c>
      <c r="L299" s="125">
        <f t="shared" si="149"/>
        <v>592824</v>
      </c>
      <c r="M299" s="125">
        <f t="shared" si="149"/>
        <v>604680.48</v>
      </c>
      <c r="N299" s="125">
        <f t="shared" si="149"/>
        <v>604680.48</v>
      </c>
      <c r="O299" s="125">
        <f t="shared" si="149"/>
        <v>513978.408</v>
      </c>
      <c r="P299" s="125">
        <f t="shared" si="149"/>
        <v>447161.21496</v>
      </c>
      <c r="Q299" s="125">
        <f t="shared" si="149"/>
        <v>603667.6401960001</v>
      </c>
      <c r="R299" s="125">
        <f t="shared" si="149"/>
        <v>603667.6401960001</v>
      </c>
      <c r="S299" s="125">
        <f t="shared" si="149"/>
        <v>630832.6840048201</v>
      </c>
      <c r="T299" s="125">
        <f t="shared" si="142"/>
        <v>6920095.547356821</v>
      </c>
      <c r="U299" s="251">
        <f>(10153265+412500)*0.6672</f>
        <v>7049478.408</v>
      </c>
      <c r="V299" s="129">
        <f t="shared" si="138"/>
        <v>105.4365705987685</v>
      </c>
      <c r="W299" s="130">
        <f>+V299/W$17*100-100</f>
        <v>0.5115067671768116</v>
      </c>
      <c r="X299" s="213">
        <f t="shared" si="147"/>
        <v>105.4365705987685</v>
      </c>
      <c r="Y299" s="494">
        <f t="shared" si="145"/>
        <v>7049478.408</v>
      </c>
    </row>
    <row r="300" spans="1:25" ht="15.75">
      <c r="A300" s="573">
        <v>413503</v>
      </c>
      <c r="B300" s="197"/>
      <c r="C300" s="572" t="s">
        <v>291</v>
      </c>
      <c r="D300" s="547"/>
      <c r="E300" s="234">
        <v>0</v>
      </c>
      <c r="F300" s="234">
        <f t="shared" si="105"/>
        <v>0</v>
      </c>
      <c r="G300" s="125"/>
      <c r="H300" s="125">
        <v>0</v>
      </c>
      <c r="I300" s="125">
        <v>0</v>
      </c>
      <c r="J300" s="125">
        <v>0</v>
      </c>
      <c r="K300" s="125">
        <v>0</v>
      </c>
      <c r="L300" s="125">
        <f aca="true" t="shared" si="150" ref="L300:S300">K300</f>
        <v>0</v>
      </c>
      <c r="M300" s="125">
        <f t="shared" si="150"/>
        <v>0</v>
      </c>
      <c r="N300" s="125">
        <f t="shared" si="150"/>
        <v>0</v>
      </c>
      <c r="O300" s="125">
        <f t="shared" si="150"/>
        <v>0</v>
      </c>
      <c r="P300" s="125">
        <f t="shared" si="150"/>
        <v>0</v>
      </c>
      <c r="Q300" s="125">
        <f t="shared" si="150"/>
        <v>0</v>
      </c>
      <c r="R300" s="125">
        <f t="shared" si="150"/>
        <v>0</v>
      </c>
      <c r="S300" s="125">
        <f t="shared" si="150"/>
        <v>0</v>
      </c>
      <c r="T300" s="125">
        <f t="shared" si="142"/>
        <v>0</v>
      </c>
      <c r="U300" s="251">
        <v>0</v>
      </c>
      <c r="V300" s="129"/>
      <c r="W300" s="130"/>
      <c r="X300" s="213"/>
      <c r="Y300" s="494">
        <f t="shared" si="145"/>
        <v>0</v>
      </c>
    </row>
    <row r="301" spans="1:25" ht="15">
      <c r="A301" s="163"/>
      <c r="B301" s="197"/>
      <c r="C301" s="198"/>
      <c r="D301" s="547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9"/>
      <c r="W301" s="130"/>
      <c r="X301" s="130"/>
      <c r="Y301" s="486"/>
    </row>
    <row r="302" spans="1:137" ht="15.75">
      <c r="A302" s="131">
        <v>414</v>
      </c>
      <c r="B302" s="132"/>
      <c r="C302" s="461" t="s">
        <v>193</v>
      </c>
      <c r="D302" s="128">
        <f aca="true" t="shared" si="151" ref="D302:U302">+D304+D307</f>
        <v>2940107</v>
      </c>
      <c r="E302" s="128">
        <f t="shared" si="151"/>
        <v>2445588</v>
      </c>
      <c r="F302" s="128">
        <f t="shared" si="105"/>
        <v>-494519</v>
      </c>
      <c r="G302" s="128">
        <f>SUM(G304:G304)+G307</f>
        <v>2953402.643</v>
      </c>
      <c r="H302" s="128">
        <f t="shared" si="151"/>
        <v>57316</v>
      </c>
      <c r="I302" s="128">
        <f t="shared" si="151"/>
        <v>25803</v>
      </c>
      <c r="J302" s="128">
        <f t="shared" si="151"/>
        <v>73282</v>
      </c>
      <c r="K302" s="128">
        <f t="shared" si="151"/>
        <v>32079</v>
      </c>
      <c r="L302" s="128">
        <f t="shared" si="151"/>
        <v>80000</v>
      </c>
      <c r="M302" s="128">
        <f t="shared" si="151"/>
        <v>760000</v>
      </c>
      <c r="N302" s="128">
        <f t="shared" si="151"/>
        <v>110000</v>
      </c>
      <c r="O302" s="128">
        <f t="shared" si="151"/>
        <v>110000</v>
      </c>
      <c r="P302" s="128">
        <f t="shared" si="151"/>
        <v>110000</v>
      </c>
      <c r="Q302" s="128">
        <f t="shared" si="151"/>
        <v>130000</v>
      </c>
      <c r="R302" s="128">
        <f t="shared" si="151"/>
        <v>130000</v>
      </c>
      <c r="S302" s="128">
        <f t="shared" si="151"/>
        <v>1500000</v>
      </c>
      <c r="T302" s="128">
        <f t="shared" si="151"/>
        <v>3118480</v>
      </c>
      <c r="U302" s="128">
        <f t="shared" si="151"/>
        <v>3167759.917</v>
      </c>
      <c r="V302" s="129">
        <f>+U302/E302*100</f>
        <v>129.52958212912395</v>
      </c>
      <c r="W302" s="130">
        <f>+V302/W$17*100-100</f>
        <v>23.47910593815439</v>
      </c>
      <c r="X302" s="129">
        <f t="shared" si="147"/>
        <v>129.52958212912395</v>
      </c>
      <c r="Y302" s="487">
        <f t="shared" si="145"/>
        <v>214357.27399999974</v>
      </c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</row>
    <row r="303" spans="1:137" ht="15.75" hidden="1">
      <c r="A303" s="116"/>
      <c r="B303" s="117"/>
      <c r="C303" s="518"/>
      <c r="D303" s="540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20"/>
      <c r="W303" s="121"/>
      <c r="X303" s="121"/>
      <c r="Y303" s="485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</row>
    <row r="304" spans="1:25" ht="15">
      <c r="A304" s="191">
        <v>4142</v>
      </c>
      <c r="B304" s="123"/>
      <c r="C304" s="194" t="s">
        <v>194</v>
      </c>
      <c r="D304" s="125">
        <f>+D305+D306</f>
        <v>2940107</v>
      </c>
      <c r="E304" s="125">
        <f>+E305+E306</f>
        <v>2445588</v>
      </c>
      <c r="F304" s="125">
        <f t="shared" si="105"/>
        <v>-494519</v>
      </c>
      <c r="G304" s="125">
        <v>2953402.643</v>
      </c>
      <c r="H304" s="125">
        <f aca="true" t="shared" si="152" ref="H304:T304">+H305+H306</f>
        <v>57316</v>
      </c>
      <c r="I304" s="125">
        <f t="shared" si="152"/>
        <v>25803</v>
      </c>
      <c r="J304" s="125">
        <f t="shared" si="152"/>
        <v>73282</v>
      </c>
      <c r="K304" s="125">
        <f t="shared" si="152"/>
        <v>32079</v>
      </c>
      <c r="L304" s="125">
        <f t="shared" si="152"/>
        <v>80000</v>
      </c>
      <c r="M304" s="125">
        <f t="shared" si="152"/>
        <v>760000</v>
      </c>
      <c r="N304" s="125">
        <f t="shared" si="152"/>
        <v>110000</v>
      </c>
      <c r="O304" s="125">
        <f t="shared" si="152"/>
        <v>110000</v>
      </c>
      <c r="P304" s="125">
        <f t="shared" si="152"/>
        <v>110000</v>
      </c>
      <c r="Q304" s="125">
        <f t="shared" si="152"/>
        <v>130000</v>
      </c>
      <c r="R304" s="125">
        <f t="shared" si="152"/>
        <v>130000</v>
      </c>
      <c r="S304" s="125">
        <f t="shared" si="152"/>
        <v>1500000</v>
      </c>
      <c r="T304" s="125">
        <f t="shared" si="152"/>
        <v>3118480</v>
      </c>
      <c r="U304" s="125">
        <f>+U305+U306</f>
        <v>3167759.917</v>
      </c>
      <c r="V304" s="129">
        <f>+U304/E304*100</f>
        <v>129.52958212912395</v>
      </c>
      <c r="W304" s="130">
        <f>+V304/W$17*100-100</f>
        <v>23.47910593815439</v>
      </c>
      <c r="X304" s="129">
        <f t="shared" si="147"/>
        <v>129.52958212912395</v>
      </c>
      <c r="Y304" s="486">
        <f t="shared" si="145"/>
        <v>214357.27399999974</v>
      </c>
    </row>
    <row r="305" spans="1:25" ht="15">
      <c r="A305" s="191">
        <v>414200</v>
      </c>
      <c r="B305" s="123"/>
      <c r="C305" s="194" t="s">
        <v>195</v>
      </c>
      <c r="D305" s="125">
        <v>559707</v>
      </c>
      <c r="E305" s="181">
        <v>729733</v>
      </c>
      <c r="F305" s="181">
        <f t="shared" si="105"/>
        <v>170026</v>
      </c>
      <c r="G305" s="125">
        <v>566932.643</v>
      </c>
      <c r="H305" s="125">
        <v>56666</v>
      </c>
      <c r="I305" s="125">
        <v>25803</v>
      </c>
      <c r="J305" s="125">
        <v>64792</v>
      </c>
      <c r="K305" s="125">
        <v>32079</v>
      </c>
      <c r="L305" s="125">
        <v>15000</v>
      </c>
      <c r="M305" s="125">
        <v>60000</v>
      </c>
      <c r="N305" s="125">
        <f>M305</f>
        <v>60000</v>
      </c>
      <c r="O305" s="125">
        <f>N305</f>
        <v>60000</v>
      </c>
      <c r="P305" s="125">
        <f>O305</f>
        <v>60000</v>
      </c>
      <c r="Q305" s="125">
        <v>80000</v>
      </c>
      <c r="R305" s="125">
        <v>80000</v>
      </c>
      <c r="S305" s="125">
        <v>150000</v>
      </c>
      <c r="T305" s="125">
        <f>SUM(H305:S305)</f>
        <v>744340</v>
      </c>
      <c r="U305" s="125">
        <f>745289.917+36000</f>
        <v>781289.917</v>
      </c>
      <c r="V305" s="129">
        <f>+U305/E305*100</f>
        <v>107.06517548199137</v>
      </c>
      <c r="W305" s="130">
        <f>+V305/W$17*100-100</f>
        <v>2.064037637742018</v>
      </c>
      <c r="X305" s="129">
        <f t="shared" si="147"/>
        <v>107.06517548199137</v>
      </c>
      <c r="Y305" s="486">
        <f t="shared" si="145"/>
        <v>214357.27399999998</v>
      </c>
    </row>
    <row r="306" spans="1:25" ht="15">
      <c r="A306" s="191">
        <v>414201</v>
      </c>
      <c r="B306" s="123"/>
      <c r="C306" s="194" t="s">
        <v>196</v>
      </c>
      <c r="D306" s="125">
        <v>2380400</v>
      </c>
      <c r="E306" s="181">
        <v>1715855</v>
      </c>
      <c r="F306" s="181">
        <f t="shared" si="105"/>
        <v>-664545</v>
      </c>
      <c r="G306" s="125">
        <v>2386470</v>
      </c>
      <c r="H306" s="125">
        <v>650</v>
      </c>
      <c r="I306" s="125">
        <v>0</v>
      </c>
      <c r="J306" s="125">
        <v>8490</v>
      </c>
      <c r="K306" s="125">
        <v>0</v>
      </c>
      <c r="L306" s="125">
        <v>65000</v>
      </c>
      <c r="M306" s="125">
        <v>700000</v>
      </c>
      <c r="N306" s="125">
        <v>50000</v>
      </c>
      <c r="O306" s="125">
        <f>N306</f>
        <v>50000</v>
      </c>
      <c r="P306" s="125">
        <f>O306</f>
        <v>50000</v>
      </c>
      <c r="Q306" s="125">
        <f>P306</f>
        <v>50000</v>
      </c>
      <c r="R306" s="125">
        <f>Q306</f>
        <v>50000</v>
      </c>
      <c r="S306" s="125">
        <v>1350000</v>
      </c>
      <c r="T306" s="125">
        <f>SUM(H306:S306)</f>
        <v>2374140</v>
      </c>
      <c r="U306" s="125">
        <v>2386470</v>
      </c>
      <c r="V306" s="129">
        <f>+U306/E306*100</f>
        <v>139.08343070947137</v>
      </c>
      <c r="W306" s="130">
        <f>+V306/W$17*100-100</f>
        <v>32.58668323114523</v>
      </c>
      <c r="X306" s="129">
        <f t="shared" si="147"/>
        <v>139.08343070947137</v>
      </c>
      <c r="Y306" s="486">
        <f t="shared" si="145"/>
        <v>0</v>
      </c>
    </row>
    <row r="307" spans="1:25" ht="15">
      <c r="A307" s="191">
        <v>4143</v>
      </c>
      <c r="B307" s="123"/>
      <c r="C307" s="194" t="s">
        <v>197</v>
      </c>
      <c r="D307" s="125">
        <v>0</v>
      </c>
      <c r="E307" s="181">
        <v>0</v>
      </c>
      <c r="F307" s="181">
        <f aca="true" t="shared" si="153" ref="F307:F314">+E307-D307</f>
        <v>0</v>
      </c>
      <c r="G307" s="125">
        <v>0</v>
      </c>
      <c r="H307" s="125">
        <v>0</v>
      </c>
      <c r="I307" s="125">
        <v>0</v>
      </c>
      <c r="J307" s="125">
        <v>0</v>
      </c>
      <c r="K307" s="125">
        <v>0</v>
      </c>
      <c r="L307" s="125">
        <f>K307</f>
        <v>0</v>
      </c>
      <c r="M307" s="125">
        <f>L307</f>
        <v>0</v>
      </c>
      <c r="N307" s="125">
        <f aca="true" t="shared" si="154" ref="N307:S307">M307</f>
        <v>0</v>
      </c>
      <c r="O307" s="125">
        <f t="shared" si="154"/>
        <v>0</v>
      </c>
      <c r="P307" s="125">
        <f t="shared" si="154"/>
        <v>0</v>
      </c>
      <c r="Q307" s="125">
        <f t="shared" si="154"/>
        <v>0</v>
      </c>
      <c r="R307" s="125">
        <f t="shared" si="154"/>
        <v>0</v>
      </c>
      <c r="S307" s="125">
        <f t="shared" si="154"/>
        <v>0</v>
      </c>
      <c r="T307" s="125">
        <f>SUM(H307:S307)</f>
        <v>0</v>
      </c>
      <c r="U307" s="125">
        <v>0</v>
      </c>
      <c r="V307" s="125"/>
      <c r="W307" s="126"/>
      <c r="X307" s="126"/>
      <c r="Y307" s="486">
        <f t="shared" si="145"/>
        <v>0</v>
      </c>
    </row>
    <row r="308" spans="1:25" ht="15">
      <c r="A308" s="191"/>
      <c r="B308" s="123"/>
      <c r="C308" s="19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6"/>
      <c r="X308" s="126"/>
      <c r="Y308" s="486"/>
    </row>
    <row r="309" spans="1:25" ht="15.75">
      <c r="A309" s="252">
        <v>42</v>
      </c>
      <c r="B309" s="132" t="s">
        <v>198</v>
      </c>
      <c r="C309" s="461" t="s">
        <v>199</v>
      </c>
      <c r="D309" s="128">
        <f aca="true" t="shared" si="155" ref="D309:U309">+D311</f>
        <v>1123077</v>
      </c>
      <c r="E309" s="128">
        <f t="shared" si="155"/>
        <v>1055780</v>
      </c>
      <c r="F309" s="128">
        <f t="shared" si="153"/>
        <v>-67297</v>
      </c>
      <c r="G309" s="128">
        <f>G311</f>
        <v>1178107.773</v>
      </c>
      <c r="H309" s="128">
        <f t="shared" si="155"/>
        <v>2957</v>
      </c>
      <c r="I309" s="128">
        <f t="shared" si="155"/>
        <v>10153</v>
      </c>
      <c r="J309" s="128">
        <f t="shared" si="155"/>
        <v>9571</v>
      </c>
      <c r="K309" s="128">
        <f t="shared" si="155"/>
        <v>40655</v>
      </c>
      <c r="L309" s="128">
        <f t="shared" si="155"/>
        <v>40655</v>
      </c>
      <c r="M309" s="128">
        <f t="shared" si="155"/>
        <v>100000</v>
      </c>
      <c r="N309" s="128">
        <f t="shared" si="155"/>
        <v>50000</v>
      </c>
      <c r="O309" s="128">
        <f t="shared" si="155"/>
        <v>50000</v>
      </c>
      <c r="P309" s="128">
        <f t="shared" si="155"/>
        <v>90000</v>
      </c>
      <c r="Q309" s="128">
        <f t="shared" si="155"/>
        <v>120000</v>
      </c>
      <c r="R309" s="128">
        <f t="shared" si="155"/>
        <v>150000</v>
      </c>
      <c r="S309" s="128">
        <f t="shared" si="155"/>
        <v>510000</v>
      </c>
      <c r="T309" s="128">
        <f t="shared" si="155"/>
        <v>1173991</v>
      </c>
      <c r="U309" s="128">
        <f t="shared" si="155"/>
        <v>1195108</v>
      </c>
      <c r="V309" s="129">
        <f>+U309/E309*100</f>
        <v>113.19668870408609</v>
      </c>
      <c r="W309" s="130">
        <f>+V309/W$17*100-100</f>
        <v>7.909140804657852</v>
      </c>
      <c r="X309" s="129">
        <f t="shared" si="147"/>
        <v>113.19668870408609</v>
      </c>
      <c r="Y309" s="487">
        <f t="shared" si="145"/>
        <v>17000.226999999955</v>
      </c>
    </row>
    <row r="310" spans="1:25" ht="15.75" hidden="1">
      <c r="A310" s="116"/>
      <c r="B310" s="117"/>
      <c r="C310" s="518"/>
      <c r="D310" s="540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20"/>
      <c r="W310" s="121"/>
      <c r="X310" s="121"/>
      <c r="Y310" s="485"/>
    </row>
    <row r="311" spans="1:25" ht="16.5" thickBot="1">
      <c r="A311" s="252">
        <v>420</v>
      </c>
      <c r="B311" s="132"/>
      <c r="C311" s="461" t="s">
        <v>200</v>
      </c>
      <c r="D311" s="558">
        <v>1123077</v>
      </c>
      <c r="E311" s="181">
        <v>1055780</v>
      </c>
      <c r="F311" s="181">
        <f t="shared" si="153"/>
        <v>-67297</v>
      </c>
      <c r="G311" s="125">
        <v>1178107.773</v>
      </c>
      <c r="H311" s="125">
        <v>2957</v>
      </c>
      <c r="I311" s="125">
        <v>10153</v>
      </c>
      <c r="J311" s="125">
        <v>9571</v>
      </c>
      <c r="K311" s="125">
        <v>40655</v>
      </c>
      <c r="L311" s="125">
        <f>K311</f>
        <v>40655</v>
      </c>
      <c r="M311" s="125">
        <v>100000</v>
      </c>
      <c r="N311" s="125">
        <v>50000</v>
      </c>
      <c r="O311" s="125">
        <f>N311</f>
        <v>50000</v>
      </c>
      <c r="P311" s="125">
        <v>90000</v>
      </c>
      <c r="Q311" s="125">
        <v>120000</v>
      </c>
      <c r="R311" s="125">
        <v>150000</v>
      </c>
      <c r="S311" s="125">
        <v>510000</v>
      </c>
      <c r="T311" s="125">
        <f>SUM(H311:S311)</f>
        <v>1173991</v>
      </c>
      <c r="U311" s="125">
        <f>1178108+17000</f>
        <v>1195108</v>
      </c>
      <c r="V311" s="129">
        <f>+U311/E311*100</f>
        <v>113.19668870408609</v>
      </c>
      <c r="W311" s="130">
        <f>+V311/W$17*100-100</f>
        <v>7.909140804657852</v>
      </c>
      <c r="X311" s="129">
        <f t="shared" si="147"/>
        <v>113.19668870408609</v>
      </c>
      <c r="Y311" s="486">
        <f t="shared" si="145"/>
        <v>17000.226999999955</v>
      </c>
    </row>
    <row r="312" spans="1:25" ht="15.75" thickTop="1">
      <c r="A312" s="253" t="s">
        <v>0</v>
      </c>
      <c r="B312" s="254"/>
      <c r="C312" s="255"/>
      <c r="D312" s="554"/>
      <c r="E312" s="256"/>
      <c r="F312" s="256"/>
      <c r="G312" s="256"/>
      <c r="H312" s="256"/>
      <c r="I312" s="256"/>
      <c r="J312" s="256"/>
      <c r="K312" s="256"/>
      <c r="L312" s="256"/>
      <c r="M312" s="256"/>
      <c r="N312" s="256"/>
      <c r="O312" s="256"/>
      <c r="P312" s="256"/>
      <c r="Q312" s="256"/>
      <c r="R312" s="256"/>
      <c r="S312" s="256"/>
      <c r="T312" s="256"/>
      <c r="U312" s="256"/>
      <c r="V312" s="256"/>
      <c r="W312" s="257"/>
      <c r="X312" s="257"/>
      <c r="Y312" s="515"/>
    </row>
    <row r="313" spans="1:25" ht="15.75">
      <c r="A313" s="258" t="s">
        <v>0</v>
      </c>
      <c r="B313" s="111" t="s">
        <v>201</v>
      </c>
      <c r="C313" s="112" t="s">
        <v>202</v>
      </c>
      <c r="D313" s="555"/>
      <c r="E313" s="259"/>
      <c r="F313" s="259"/>
      <c r="G313" s="259"/>
      <c r="H313" s="259"/>
      <c r="I313" s="259"/>
      <c r="J313" s="259"/>
      <c r="K313" s="259"/>
      <c r="L313" s="259"/>
      <c r="M313" s="259"/>
      <c r="N313" s="259"/>
      <c r="O313" s="259"/>
      <c r="P313" s="259"/>
      <c r="Q313" s="259"/>
      <c r="R313" s="259"/>
      <c r="S313" s="259"/>
      <c r="T313" s="259"/>
      <c r="U313" s="259"/>
      <c r="V313" s="259"/>
      <c r="W313" s="260"/>
      <c r="X313" s="260"/>
      <c r="Y313" s="516"/>
    </row>
    <row r="314" spans="1:25" ht="15.75">
      <c r="A314" s="258"/>
      <c r="B314" s="111"/>
      <c r="C314" s="112" t="s">
        <v>203</v>
      </c>
      <c r="D314" s="113">
        <f>+D50-D167</f>
        <v>-15795452</v>
      </c>
      <c r="E314" s="113">
        <f>+E50-E167</f>
        <v>-11344510.99999994</v>
      </c>
      <c r="F314" s="113">
        <f t="shared" si="153"/>
        <v>4450941.00000006</v>
      </c>
      <c r="G314" s="113">
        <f>G50-G167</f>
        <v>-14419843.840492606</v>
      </c>
      <c r="H314" s="113">
        <f aca="true" t="shared" si="156" ref="H314:T314">+H50-H167</f>
        <v>349238</v>
      </c>
      <c r="I314" s="113">
        <f t="shared" si="156"/>
        <v>-3704765</v>
      </c>
      <c r="J314" s="113">
        <f t="shared" si="156"/>
        <v>-1683584</v>
      </c>
      <c r="K314" s="113">
        <f t="shared" si="156"/>
        <v>-16504</v>
      </c>
      <c r="L314" s="113">
        <f t="shared" si="156"/>
        <v>-218415.98999999464</v>
      </c>
      <c r="M314" s="113">
        <f t="shared" si="156"/>
        <v>-1022562.8533899933</v>
      </c>
      <c r="N314" s="113">
        <f t="shared" si="156"/>
        <v>-374164.60411660373</v>
      </c>
      <c r="O314" s="113">
        <f t="shared" si="156"/>
        <v>215618.63743703812</v>
      </c>
      <c r="P314" s="113">
        <f t="shared" si="156"/>
        <v>865296.1815933324</v>
      </c>
      <c r="Q314" s="113">
        <f t="shared" si="156"/>
        <v>-954662.5602861904</v>
      </c>
      <c r="R314" s="113">
        <f t="shared" si="156"/>
        <v>-436783.03959635645</v>
      </c>
      <c r="S314" s="113">
        <f t="shared" si="156"/>
        <v>-5520583.479800038</v>
      </c>
      <c r="T314" s="113">
        <f t="shared" si="156"/>
        <v>-12501872.708158731</v>
      </c>
      <c r="U314" s="113">
        <f>U50-U167</f>
        <v>-14419843.600913942</v>
      </c>
      <c r="V314" s="261"/>
      <c r="W314" s="262"/>
      <c r="X314" s="574">
        <f t="shared" si="147"/>
        <v>127.10855144760332</v>
      </c>
      <c r="Y314" s="484">
        <f t="shared" si="145"/>
        <v>0.23957866430282593</v>
      </c>
    </row>
    <row r="315" spans="1:25" ht="16.5" thickBot="1">
      <c r="A315" s="263"/>
      <c r="B315" s="264"/>
      <c r="C315" s="265" t="s">
        <v>29</v>
      </c>
      <c r="D315" s="265"/>
      <c r="E315" s="266"/>
      <c r="F315" s="266"/>
      <c r="G315" s="266"/>
      <c r="H315" s="266"/>
      <c r="I315" s="266"/>
      <c r="J315" s="266"/>
      <c r="K315" s="266"/>
      <c r="L315" s="266"/>
      <c r="M315" s="266"/>
      <c r="N315" s="266"/>
      <c r="O315" s="266"/>
      <c r="P315" s="266"/>
      <c r="Q315" s="266"/>
      <c r="R315" s="266"/>
      <c r="S315" s="266"/>
      <c r="T315" s="266"/>
      <c r="U315" s="266"/>
      <c r="V315" s="267"/>
      <c r="W315" s="268"/>
      <c r="X315" s="268"/>
      <c r="Y315" s="517"/>
    </row>
    <row r="316" spans="1:25" ht="17.25" customHeight="1">
      <c r="A316" s="269"/>
      <c r="B316" s="270"/>
      <c r="C316" s="271"/>
      <c r="D316" s="271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3"/>
      <c r="V316" s="273"/>
      <c r="W316" s="274"/>
      <c r="X316" s="274"/>
      <c r="Y316" s="449"/>
    </row>
    <row r="317" spans="1:25" ht="0.75" customHeight="1">
      <c r="A317" s="275"/>
      <c r="B317" s="157"/>
      <c r="C317" s="276"/>
      <c r="D317" s="276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99"/>
      <c r="X317" s="199"/>
      <c r="Y317" s="199"/>
    </row>
    <row r="318" spans="1:25" ht="0.75" customHeight="1">
      <c r="A318" s="195"/>
      <c r="B318" s="195"/>
      <c r="C318" s="195"/>
      <c r="D318" s="195"/>
      <c r="E318" s="226"/>
      <c r="F318" s="226"/>
      <c r="G318" s="226">
        <f>+G314+14419844</f>
        <v>0.1595073938369751</v>
      </c>
      <c r="H318" s="226"/>
      <c r="I318" s="226"/>
      <c r="J318" s="226"/>
      <c r="K318" s="226"/>
      <c r="L318" s="226"/>
      <c r="M318" s="226"/>
      <c r="N318" s="226"/>
      <c r="O318" s="226"/>
      <c r="P318" s="226"/>
      <c r="Q318" s="226"/>
      <c r="R318" s="226"/>
      <c r="S318" s="226"/>
      <c r="T318" s="226"/>
      <c r="U318" s="226"/>
      <c r="V318" s="226"/>
      <c r="W318" s="226"/>
      <c r="X318" s="226"/>
      <c r="Y318" s="226"/>
    </row>
    <row r="319" spans="1:25" ht="15">
      <c r="A319" s="195"/>
      <c r="B319" s="195"/>
      <c r="C319" s="195"/>
      <c r="D319" s="195"/>
      <c r="E319" s="277"/>
      <c r="F319" s="277"/>
      <c r="G319" s="277"/>
      <c r="H319" s="277"/>
      <c r="I319" s="277"/>
      <c r="J319" s="277"/>
      <c r="K319" s="277"/>
      <c r="L319" s="277"/>
      <c r="M319" s="277"/>
      <c r="N319" s="277"/>
      <c r="O319" s="277"/>
      <c r="P319" s="277"/>
      <c r="Q319" s="277"/>
      <c r="R319" s="277"/>
      <c r="S319" s="277"/>
      <c r="T319" s="277"/>
      <c r="U319" s="277"/>
      <c r="V319" s="277"/>
      <c r="W319" s="277"/>
      <c r="X319" s="277"/>
      <c r="Y319" s="277"/>
    </row>
    <row r="320" spans="1:25" ht="21" customHeight="1">
      <c r="A320" s="278" t="s">
        <v>205</v>
      </c>
      <c r="B320" s="279"/>
      <c r="C320" s="279"/>
      <c r="D320" s="279"/>
      <c r="E320" s="277"/>
      <c r="F320" s="277"/>
      <c r="G320" s="277"/>
      <c r="H320" s="277"/>
      <c r="I320" s="277"/>
      <c r="J320" s="277"/>
      <c r="K320" s="277"/>
      <c r="L320" s="277"/>
      <c r="M320" s="277"/>
      <c r="N320" s="277"/>
      <c r="O320" s="277"/>
      <c r="P320" s="277"/>
      <c r="Q320" s="277"/>
      <c r="R320" s="277"/>
      <c r="S320" s="277"/>
      <c r="T320" s="277"/>
      <c r="U320" s="277"/>
      <c r="V320" s="277"/>
      <c r="W320" s="277"/>
      <c r="X320" s="277"/>
      <c r="Y320" s="277"/>
    </row>
    <row r="321" spans="1:25" ht="20.25" customHeight="1" thickBot="1">
      <c r="A321" s="195" t="s">
        <v>0</v>
      </c>
      <c r="B321" s="195"/>
      <c r="C321" s="195"/>
      <c r="D321" s="195"/>
      <c r="E321" s="280"/>
      <c r="F321" s="280"/>
      <c r="G321" s="281"/>
      <c r="H321" s="280"/>
      <c r="I321" s="280"/>
      <c r="J321" s="280"/>
      <c r="K321" s="280"/>
      <c r="L321" s="280"/>
      <c r="M321" s="280"/>
      <c r="N321" s="280"/>
      <c r="O321" s="280"/>
      <c r="P321" s="280"/>
      <c r="Q321" s="280"/>
      <c r="R321" s="280"/>
      <c r="S321" s="280"/>
      <c r="T321" s="280"/>
      <c r="U321" s="282"/>
      <c r="V321" s="36"/>
      <c r="W321" s="36"/>
      <c r="X321" s="36"/>
      <c r="Y321" s="280"/>
    </row>
    <row r="322" spans="1:25" ht="54.75" customHeight="1">
      <c r="A322" s="283"/>
      <c r="B322" s="284"/>
      <c r="C322" s="285"/>
      <c r="D322" s="43" t="s">
        <v>315</v>
      </c>
      <c r="E322" s="45" t="s">
        <v>206</v>
      </c>
      <c r="F322" s="446" t="s">
        <v>312</v>
      </c>
      <c r="G322" s="46" t="s">
        <v>6</v>
      </c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5" t="s">
        <v>274</v>
      </c>
      <c r="U322" s="46" t="s">
        <v>7</v>
      </c>
      <c r="V322" s="47" t="s">
        <v>4</v>
      </c>
      <c r="W322" s="48" t="s">
        <v>5</v>
      </c>
      <c r="X322" s="47" t="s">
        <v>4</v>
      </c>
      <c r="Y322" s="446" t="s">
        <v>312</v>
      </c>
    </row>
    <row r="323" spans="1:25" ht="18" customHeight="1">
      <c r="A323" s="286"/>
      <c r="B323" s="287"/>
      <c r="C323" s="288"/>
      <c r="D323" s="422" t="s">
        <v>334</v>
      </c>
      <c r="E323" s="52">
        <v>2003</v>
      </c>
      <c r="F323" s="447" t="s">
        <v>314</v>
      </c>
      <c r="G323" s="54" t="s">
        <v>10</v>
      </c>
      <c r="H323" s="52" t="s">
        <v>262</v>
      </c>
      <c r="I323" s="53" t="s">
        <v>263</v>
      </c>
      <c r="J323" s="52" t="s">
        <v>264</v>
      </c>
      <c r="K323" s="52" t="s">
        <v>265</v>
      </c>
      <c r="L323" s="52" t="s">
        <v>266</v>
      </c>
      <c r="M323" s="52" t="s">
        <v>267</v>
      </c>
      <c r="N323" s="52" t="s">
        <v>268</v>
      </c>
      <c r="O323" s="52" t="s">
        <v>269</v>
      </c>
      <c r="P323" s="52" t="s">
        <v>270</v>
      </c>
      <c r="Q323" s="52" t="s">
        <v>271</v>
      </c>
      <c r="R323" s="52" t="s">
        <v>272</v>
      </c>
      <c r="S323" s="52" t="s">
        <v>273</v>
      </c>
      <c r="T323" s="52" t="s">
        <v>275</v>
      </c>
      <c r="U323" s="54">
        <v>2004</v>
      </c>
      <c r="V323" s="55" t="s">
        <v>8</v>
      </c>
      <c r="W323" s="56" t="s">
        <v>9</v>
      </c>
      <c r="X323" s="55" t="s">
        <v>8</v>
      </c>
      <c r="Y323" s="447" t="s">
        <v>314</v>
      </c>
    </row>
    <row r="324" spans="1:25" ht="20.25">
      <c r="A324" s="289" t="s">
        <v>1</v>
      </c>
      <c r="B324" s="287"/>
      <c r="C324" s="288"/>
      <c r="D324" s="578" t="s">
        <v>335</v>
      </c>
      <c r="E324" s="58"/>
      <c r="F324" s="448"/>
      <c r="G324" s="290">
        <v>2004</v>
      </c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4" t="s">
        <v>336</v>
      </c>
      <c r="V324" s="55" t="s">
        <v>2</v>
      </c>
      <c r="W324" s="56" t="s">
        <v>2</v>
      </c>
      <c r="X324" s="55" t="s">
        <v>311</v>
      </c>
      <c r="Y324" s="448"/>
    </row>
    <row r="325" spans="1:25" ht="18.75" thickBot="1">
      <c r="A325" s="291"/>
      <c r="B325" s="292"/>
      <c r="C325" s="293"/>
      <c r="D325" s="61"/>
      <c r="E325" s="62"/>
      <c r="F325" s="62"/>
      <c r="G325" s="63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3">
        <v>2003</v>
      </c>
      <c r="W325" s="64">
        <v>2003</v>
      </c>
      <c r="X325" s="63">
        <v>2003</v>
      </c>
      <c r="Y325" s="450"/>
    </row>
    <row r="326" spans="1:25" ht="19.5" customHeight="1" thickTop="1">
      <c r="A326" s="294" t="s">
        <v>0</v>
      </c>
      <c r="B326" s="295"/>
      <c r="C326" s="296"/>
      <c r="D326" s="296"/>
      <c r="E326" s="297"/>
      <c r="F326" s="297"/>
      <c r="G326" s="297"/>
      <c r="H326" s="297"/>
      <c r="I326" s="297"/>
      <c r="J326" s="297"/>
      <c r="K326" s="297"/>
      <c r="L326" s="297"/>
      <c r="M326" s="297"/>
      <c r="N326" s="297"/>
      <c r="O326" s="297"/>
      <c r="P326" s="297"/>
      <c r="Q326" s="297"/>
      <c r="R326" s="297"/>
      <c r="S326" s="297"/>
      <c r="T326" s="297"/>
      <c r="U326" s="297"/>
      <c r="V326" s="297"/>
      <c r="W326" s="295"/>
      <c r="X326" s="295"/>
      <c r="Y326" s="457"/>
    </row>
    <row r="327" spans="1:25" ht="15.75">
      <c r="A327" s="298"/>
      <c r="B327" s="299" t="s">
        <v>0</v>
      </c>
      <c r="C327" s="300" t="s">
        <v>207</v>
      </c>
      <c r="D327" s="300"/>
      <c r="E327" s="301"/>
      <c r="F327" s="301"/>
      <c r="G327" s="301"/>
      <c r="H327" s="301"/>
      <c r="I327" s="301"/>
      <c r="J327" s="301"/>
      <c r="K327" s="301"/>
      <c r="L327" s="301"/>
      <c r="M327" s="301"/>
      <c r="N327" s="301"/>
      <c r="O327" s="301"/>
      <c r="P327" s="301"/>
      <c r="Q327" s="301"/>
      <c r="R327" s="301"/>
      <c r="S327" s="301"/>
      <c r="T327" s="301"/>
      <c r="U327" s="301"/>
      <c r="V327" s="301"/>
      <c r="W327" s="302"/>
      <c r="X327" s="302"/>
      <c r="Y327" s="302"/>
    </row>
    <row r="328" spans="1:25" ht="15.75">
      <c r="A328" s="303"/>
      <c r="B328" s="299" t="s">
        <v>208</v>
      </c>
      <c r="C328" s="300" t="s">
        <v>209</v>
      </c>
      <c r="D328" s="304">
        <f>D330+D333</f>
        <v>7007</v>
      </c>
      <c r="E328" s="304">
        <f>E330+E333</f>
        <v>19363</v>
      </c>
      <c r="F328" s="304">
        <f>+E328-D328</f>
        <v>12356</v>
      </c>
      <c r="G328" s="304">
        <v>7007</v>
      </c>
      <c r="H328" s="304">
        <f aca="true" t="shared" si="157" ref="H328:U328">H330+H333</f>
        <v>610</v>
      </c>
      <c r="I328" s="304">
        <f t="shared" si="157"/>
        <v>617</v>
      </c>
      <c r="J328" s="304">
        <f t="shared" si="157"/>
        <v>566</v>
      </c>
      <c r="K328" s="304">
        <f t="shared" si="157"/>
        <v>512</v>
      </c>
      <c r="L328" s="304">
        <f t="shared" si="157"/>
        <v>512</v>
      </c>
      <c r="M328" s="304">
        <f t="shared" si="157"/>
        <v>512</v>
      </c>
      <c r="N328" s="304">
        <f t="shared" si="157"/>
        <v>512</v>
      </c>
      <c r="O328" s="304">
        <f t="shared" si="157"/>
        <v>512</v>
      </c>
      <c r="P328" s="304">
        <f t="shared" si="157"/>
        <v>512</v>
      </c>
      <c r="Q328" s="304">
        <f t="shared" si="157"/>
        <v>512</v>
      </c>
      <c r="R328" s="304">
        <f t="shared" si="157"/>
        <v>512</v>
      </c>
      <c r="S328" s="304">
        <f t="shared" si="157"/>
        <v>512</v>
      </c>
      <c r="T328" s="304">
        <f t="shared" si="157"/>
        <v>6401</v>
      </c>
      <c r="U328" s="304">
        <f t="shared" si="157"/>
        <v>7007</v>
      </c>
      <c r="V328" s="305">
        <f>+U328/E328*100</f>
        <v>36.187574239529</v>
      </c>
      <c r="W328" s="306">
        <f>+V328/W$17*100-100</f>
        <v>-65.5027890948246</v>
      </c>
      <c r="X328" s="305">
        <f>+U328/E328*100</f>
        <v>36.187574239529</v>
      </c>
      <c r="Y328" s="406">
        <f>+U328-G328</f>
        <v>0</v>
      </c>
    </row>
    <row r="329" spans="1:25" ht="15.75" hidden="1">
      <c r="A329" s="191"/>
      <c r="B329" s="123"/>
      <c r="C329" s="307" t="s">
        <v>210</v>
      </c>
      <c r="D329" s="307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6"/>
      <c r="X329" s="430"/>
      <c r="Y329" s="126"/>
    </row>
    <row r="330" spans="1:25" ht="15.75">
      <c r="A330" s="252">
        <v>750</v>
      </c>
      <c r="B330" s="132"/>
      <c r="C330" s="127" t="s">
        <v>211</v>
      </c>
      <c r="D330" s="248">
        <v>7007</v>
      </c>
      <c r="E330" s="125">
        <v>7261</v>
      </c>
      <c r="F330" s="125">
        <f>+E330-D330</f>
        <v>254</v>
      </c>
      <c r="G330" s="125">
        <v>7007</v>
      </c>
      <c r="H330" s="125">
        <f>H331</f>
        <v>610</v>
      </c>
      <c r="I330" s="125">
        <f>I331</f>
        <v>617</v>
      </c>
      <c r="J330" s="125">
        <f>J331</f>
        <v>566</v>
      </c>
      <c r="K330" s="125">
        <f>K331</f>
        <v>512</v>
      </c>
      <c r="L330" s="125">
        <f>L331</f>
        <v>512</v>
      </c>
      <c r="M330" s="125">
        <f aca="true" t="shared" si="158" ref="M330:S330">M331</f>
        <v>512</v>
      </c>
      <c r="N330" s="125">
        <f t="shared" si="158"/>
        <v>512</v>
      </c>
      <c r="O330" s="125">
        <f t="shared" si="158"/>
        <v>512</v>
      </c>
      <c r="P330" s="125">
        <f t="shared" si="158"/>
        <v>512</v>
      </c>
      <c r="Q330" s="125">
        <f t="shared" si="158"/>
        <v>512</v>
      </c>
      <c r="R330" s="125">
        <f t="shared" si="158"/>
        <v>512</v>
      </c>
      <c r="S330" s="125">
        <f t="shared" si="158"/>
        <v>512</v>
      </c>
      <c r="T330" s="125">
        <f>T331</f>
        <v>6401</v>
      </c>
      <c r="U330" s="125">
        <v>7007</v>
      </c>
      <c r="V330" s="129">
        <f>+U330/E330*100</f>
        <v>96.50185924803746</v>
      </c>
      <c r="W330" s="130">
        <f>+V330/W$17*100-100</f>
        <v>-8.005853910355142</v>
      </c>
      <c r="X330" s="430">
        <f>+U330/E330*100</f>
        <v>96.50185924803746</v>
      </c>
      <c r="Y330" s="209">
        <f>+U330-G330</f>
        <v>0</v>
      </c>
    </row>
    <row r="331" spans="1:25" ht="15" customHeight="1" hidden="1">
      <c r="A331" s="191">
        <v>7500</v>
      </c>
      <c r="B331" s="123"/>
      <c r="C331" s="124" t="s">
        <v>212</v>
      </c>
      <c r="D331" s="248"/>
      <c r="E331" s="125" t="s">
        <v>0</v>
      </c>
      <c r="F331" s="125"/>
      <c r="G331" s="125" t="s">
        <v>0</v>
      </c>
      <c r="H331" s="125">
        <v>610</v>
      </c>
      <c r="I331" s="125">
        <v>617</v>
      </c>
      <c r="J331" s="125">
        <v>566</v>
      </c>
      <c r="K331" s="125">
        <v>512</v>
      </c>
      <c r="L331" s="125">
        <f aca="true" t="shared" si="159" ref="L331:S331">K331</f>
        <v>512</v>
      </c>
      <c r="M331" s="125">
        <f t="shared" si="159"/>
        <v>512</v>
      </c>
      <c r="N331" s="125">
        <f t="shared" si="159"/>
        <v>512</v>
      </c>
      <c r="O331" s="125">
        <f t="shared" si="159"/>
        <v>512</v>
      </c>
      <c r="P331" s="125">
        <f t="shared" si="159"/>
        <v>512</v>
      </c>
      <c r="Q331" s="125">
        <f t="shared" si="159"/>
        <v>512</v>
      </c>
      <c r="R331" s="125">
        <f t="shared" si="159"/>
        <v>512</v>
      </c>
      <c r="S331" s="125">
        <f t="shared" si="159"/>
        <v>512</v>
      </c>
      <c r="T331" s="125">
        <f>SUM(H331:S331)</f>
        <v>6401</v>
      </c>
      <c r="U331" s="125"/>
      <c r="V331" s="125"/>
      <c r="W331" s="126"/>
      <c r="X331" s="430"/>
      <c r="Y331" s="126"/>
    </row>
    <row r="332" spans="1:25" ht="15" hidden="1">
      <c r="A332" s="191"/>
      <c r="B332" s="123"/>
      <c r="C332" s="124"/>
      <c r="D332" s="248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6"/>
      <c r="X332" s="430"/>
      <c r="Y332" s="126"/>
    </row>
    <row r="333" spans="1:25" ht="15.75">
      <c r="A333" s="252">
        <v>751</v>
      </c>
      <c r="B333" s="132"/>
      <c r="C333" s="127" t="s">
        <v>213</v>
      </c>
      <c r="D333" s="248">
        <v>0</v>
      </c>
      <c r="E333" s="125">
        <v>12102</v>
      </c>
      <c r="F333" s="125">
        <f>+E333-D333</f>
        <v>12102</v>
      </c>
      <c r="G333" s="125">
        <v>0</v>
      </c>
      <c r="H333" s="125">
        <v>0</v>
      </c>
      <c r="I333" s="125">
        <v>0</v>
      </c>
      <c r="J333" s="125">
        <v>0</v>
      </c>
      <c r="K333" s="125">
        <v>0</v>
      </c>
      <c r="L333" s="125">
        <f aca="true" t="shared" si="160" ref="L333:S333">K333</f>
        <v>0</v>
      </c>
      <c r="M333" s="125">
        <f t="shared" si="160"/>
        <v>0</v>
      </c>
      <c r="N333" s="125">
        <f t="shared" si="160"/>
        <v>0</v>
      </c>
      <c r="O333" s="125">
        <f t="shared" si="160"/>
        <v>0</v>
      </c>
      <c r="P333" s="125">
        <f t="shared" si="160"/>
        <v>0</v>
      </c>
      <c r="Q333" s="125">
        <f t="shared" si="160"/>
        <v>0</v>
      </c>
      <c r="R333" s="125">
        <f t="shared" si="160"/>
        <v>0</v>
      </c>
      <c r="S333" s="125">
        <f t="shared" si="160"/>
        <v>0</v>
      </c>
      <c r="T333" s="125">
        <f>SUM(H333:S333)</f>
        <v>0</v>
      </c>
      <c r="U333" s="125">
        <v>0</v>
      </c>
      <c r="V333" s="125"/>
      <c r="W333" s="126"/>
      <c r="X333" s="430">
        <f>+U333/E333*100</f>
        <v>0</v>
      </c>
      <c r="Y333" s="126"/>
    </row>
    <row r="334" spans="1:25" ht="15.75" thickBot="1">
      <c r="A334" s="191"/>
      <c r="B334" s="123"/>
      <c r="C334" s="124"/>
      <c r="D334" s="124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6"/>
      <c r="X334" s="430"/>
      <c r="Y334" s="126"/>
    </row>
    <row r="335" spans="1:25" ht="15.75" thickTop="1">
      <c r="A335" s="253" t="s">
        <v>0</v>
      </c>
      <c r="B335" s="254"/>
      <c r="C335" s="255"/>
      <c r="D335" s="255"/>
      <c r="E335" s="256"/>
      <c r="F335" s="256"/>
      <c r="G335" s="256"/>
      <c r="H335" s="256"/>
      <c r="I335" s="256"/>
      <c r="J335" s="256"/>
      <c r="K335" s="256"/>
      <c r="L335" s="256"/>
      <c r="M335" s="256"/>
      <c r="N335" s="256"/>
      <c r="O335" s="256"/>
      <c r="P335" s="256"/>
      <c r="Q335" s="256"/>
      <c r="R335" s="256"/>
      <c r="S335" s="256"/>
      <c r="T335" s="256"/>
      <c r="U335" s="256"/>
      <c r="V335" s="256"/>
      <c r="W335" s="257"/>
      <c r="X335" s="332"/>
      <c r="Y335" s="257"/>
    </row>
    <row r="336" spans="1:25" ht="15.75">
      <c r="A336" s="298"/>
      <c r="B336" s="117"/>
      <c r="C336" s="308" t="s">
        <v>214</v>
      </c>
      <c r="D336" s="308"/>
      <c r="E336" s="309"/>
      <c r="F336" s="309"/>
      <c r="G336" s="309"/>
      <c r="H336" s="309"/>
      <c r="I336" s="309"/>
      <c r="J336" s="309"/>
      <c r="K336" s="309"/>
      <c r="L336" s="309"/>
      <c r="M336" s="309"/>
      <c r="N336" s="309"/>
      <c r="O336" s="309"/>
      <c r="P336" s="309"/>
      <c r="Q336" s="309"/>
      <c r="R336" s="309"/>
      <c r="S336" s="309"/>
      <c r="T336" s="309"/>
      <c r="U336" s="309"/>
      <c r="V336" s="309"/>
      <c r="W336" s="310"/>
      <c r="X336" s="431"/>
      <c r="Y336" s="310"/>
    </row>
    <row r="337" spans="1:25" ht="15.75">
      <c r="A337" s="303"/>
      <c r="B337" s="117" t="s">
        <v>201</v>
      </c>
      <c r="C337" s="308" t="s">
        <v>215</v>
      </c>
      <c r="D337" s="304">
        <f>D339+D341</f>
        <v>0</v>
      </c>
      <c r="E337" s="304">
        <f>E339+E341</f>
        <v>0</v>
      </c>
      <c r="F337" s="304">
        <v>0</v>
      </c>
      <c r="G337" s="304">
        <v>0</v>
      </c>
      <c r="H337" s="304">
        <f aca="true" t="shared" si="161" ref="H337:U337">H339+H341</f>
        <v>0</v>
      </c>
      <c r="I337" s="304">
        <f t="shared" si="161"/>
        <v>0</v>
      </c>
      <c r="J337" s="304">
        <f t="shared" si="161"/>
        <v>0</v>
      </c>
      <c r="K337" s="304">
        <f t="shared" si="161"/>
        <v>0</v>
      </c>
      <c r="L337" s="304">
        <f t="shared" si="161"/>
        <v>0</v>
      </c>
      <c r="M337" s="304">
        <f t="shared" si="161"/>
        <v>0</v>
      </c>
      <c r="N337" s="304">
        <f t="shared" si="161"/>
        <v>0</v>
      </c>
      <c r="O337" s="304">
        <f t="shared" si="161"/>
        <v>0</v>
      </c>
      <c r="P337" s="304">
        <f t="shared" si="161"/>
        <v>0</v>
      </c>
      <c r="Q337" s="304">
        <f t="shared" si="161"/>
        <v>0</v>
      </c>
      <c r="R337" s="304">
        <f t="shared" si="161"/>
        <v>0</v>
      </c>
      <c r="S337" s="304">
        <f t="shared" si="161"/>
        <v>0</v>
      </c>
      <c r="T337" s="304">
        <f t="shared" si="161"/>
        <v>0</v>
      </c>
      <c r="U337" s="304">
        <f t="shared" si="161"/>
        <v>0</v>
      </c>
      <c r="V337" s="311" t="s">
        <v>204</v>
      </c>
      <c r="W337" s="312" t="s">
        <v>204</v>
      </c>
      <c r="X337" s="305"/>
      <c r="Y337" s="458">
        <v>0</v>
      </c>
    </row>
    <row r="338" spans="1:25" ht="15" hidden="1">
      <c r="A338" s="191"/>
      <c r="B338" s="123"/>
      <c r="C338" s="124"/>
      <c r="D338" s="124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6"/>
      <c r="X338" s="430"/>
      <c r="Y338" s="126"/>
    </row>
    <row r="339" spans="1:25" ht="15.75">
      <c r="A339" s="252">
        <v>440</v>
      </c>
      <c r="B339" s="132"/>
      <c r="C339" s="127" t="s">
        <v>216</v>
      </c>
      <c r="D339" s="248">
        <v>0</v>
      </c>
      <c r="E339" s="125">
        <v>0</v>
      </c>
      <c r="F339" s="125">
        <v>0</v>
      </c>
      <c r="G339" s="125">
        <v>0</v>
      </c>
      <c r="H339" s="125">
        <v>0</v>
      </c>
      <c r="I339" s="125">
        <v>0</v>
      </c>
      <c r="J339" s="125">
        <v>0</v>
      </c>
      <c r="K339" s="125">
        <v>0</v>
      </c>
      <c r="L339" s="125">
        <f aca="true" t="shared" si="162" ref="L339:S339">K339</f>
        <v>0</v>
      </c>
      <c r="M339" s="125">
        <f t="shared" si="162"/>
        <v>0</v>
      </c>
      <c r="N339" s="125">
        <f t="shared" si="162"/>
        <v>0</v>
      </c>
      <c r="O339" s="125">
        <f t="shared" si="162"/>
        <v>0</v>
      </c>
      <c r="P339" s="125">
        <f t="shared" si="162"/>
        <v>0</v>
      </c>
      <c r="Q339" s="125">
        <f t="shared" si="162"/>
        <v>0</v>
      </c>
      <c r="R339" s="125">
        <f t="shared" si="162"/>
        <v>0</v>
      </c>
      <c r="S339" s="125">
        <f t="shared" si="162"/>
        <v>0</v>
      </c>
      <c r="T339" s="125">
        <f>SUM(H339:S339)</f>
        <v>0</v>
      </c>
      <c r="U339" s="125">
        <v>0</v>
      </c>
      <c r="V339" s="125"/>
      <c r="W339" s="126"/>
      <c r="X339" s="430"/>
      <c r="Y339" s="126">
        <v>0</v>
      </c>
    </row>
    <row r="340" spans="1:25" ht="16.5" customHeight="1" hidden="1">
      <c r="A340" s="191"/>
      <c r="B340" s="123"/>
      <c r="C340" s="124"/>
      <c r="D340" s="248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6"/>
      <c r="X340" s="430"/>
      <c r="Y340" s="126"/>
    </row>
    <row r="341" spans="1:25" ht="16.5" customHeight="1">
      <c r="A341" s="252">
        <v>441</v>
      </c>
      <c r="B341" s="132"/>
      <c r="C341" s="127" t="s">
        <v>217</v>
      </c>
      <c r="D341" s="248">
        <v>0</v>
      </c>
      <c r="E341" s="125">
        <v>0</v>
      </c>
      <c r="F341" s="125">
        <v>0</v>
      </c>
      <c r="G341" s="125">
        <v>0</v>
      </c>
      <c r="H341" s="125">
        <v>0</v>
      </c>
      <c r="I341" s="125">
        <v>0</v>
      </c>
      <c r="J341" s="125">
        <v>0</v>
      </c>
      <c r="K341" s="125">
        <v>0</v>
      </c>
      <c r="L341" s="125">
        <f aca="true" t="shared" si="163" ref="L341:S341">K341</f>
        <v>0</v>
      </c>
      <c r="M341" s="125">
        <f t="shared" si="163"/>
        <v>0</v>
      </c>
      <c r="N341" s="125">
        <f t="shared" si="163"/>
        <v>0</v>
      </c>
      <c r="O341" s="125">
        <f t="shared" si="163"/>
        <v>0</v>
      </c>
      <c r="P341" s="125">
        <f t="shared" si="163"/>
        <v>0</v>
      </c>
      <c r="Q341" s="125">
        <f t="shared" si="163"/>
        <v>0</v>
      </c>
      <c r="R341" s="125">
        <f t="shared" si="163"/>
        <v>0</v>
      </c>
      <c r="S341" s="125">
        <f t="shared" si="163"/>
        <v>0</v>
      </c>
      <c r="T341" s="125">
        <f>SUM(H341:S341)</f>
        <v>0</v>
      </c>
      <c r="U341" s="125">
        <v>0</v>
      </c>
      <c r="V341" s="125"/>
      <c r="W341" s="126"/>
      <c r="X341" s="430"/>
      <c r="Y341" s="126">
        <v>0</v>
      </c>
    </row>
    <row r="342" spans="1:25" ht="10.5" customHeight="1">
      <c r="A342" s="313"/>
      <c r="B342" s="137"/>
      <c r="C342" s="152"/>
      <c r="D342" s="152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43"/>
      <c r="X342" s="432"/>
      <c r="Y342" s="143"/>
    </row>
    <row r="343" spans="1:25" ht="15.75">
      <c r="A343" s="314" t="s">
        <v>0</v>
      </c>
      <c r="B343" s="117" t="s">
        <v>218</v>
      </c>
      <c r="C343" s="300" t="s">
        <v>219</v>
      </c>
      <c r="D343" s="300"/>
      <c r="E343" s="301" t="s">
        <v>0</v>
      </c>
      <c r="F343" s="301"/>
      <c r="G343" s="301" t="s">
        <v>0</v>
      </c>
      <c r="H343" s="301"/>
      <c r="I343" s="301"/>
      <c r="J343" s="301"/>
      <c r="K343" s="301"/>
      <c r="L343" s="301"/>
      <c r="M343" s="301"/>
      <c r="N343" s="301"/>
      <c r="O343" s="301"/>
      <c r="P343" s="301"/>
      <c r="Q343" s="301"/>
      <c r="R343" s="301"/>
      <c r="S343" s="301"/>
      <c r="T343" s="301"/>
      <c r="U343" s="301" t="s">
        <v>0</v>
      </c>
      <c r="V343" s="301"/>
      <c r="W343" s="302"/>
      <c r="X343" s="433"/>
      <c r="Y343" s="302"/>
    </row>
    <row r="344" spans="1:25" ht="15.75">
      <c r="A344" s="303"/>
      <c r="B344" s="315"/>
      <c r="C344" s="300" t="s">
        <v>220</v>
      </c>
      <c r="D344" s="316">
        <f>+D328-D337</f>
        <v>7007</v>
      </c>
      <c r="E344" s="316">
        <f>+E328-E337</f>
        <v>19363</v>
      </c>
      <c r="F344" s="316">
        <f>+E344-D344</f>
        <v>12356</v>
      </c>
      <c r="G344" s="316">
        <v>7007</v>
      </c>
      <c r="H344" s="316">
        <f aca="true" t="shared" si="164" ref="H344:U344">+H328-H337</f>
        <v>610</v>
      </c>
      <c r="I344" s="316">
        <f t="shared" si="164"/>
        <v>617</v>
      </c>
      <c r="J344" s="316">
        <f t="shared" si="164"/>
        <v>566</v>
      </c>
      <c r="K344" s="316">
        <f t="shared" si="164"/>
        <v>512</v>
      </c>
      <c r="L344" s="316">
        <f t="shared" si="164"/>
        <v>512</v>
      </c>
      <c r="M344" s="316">
        <f t="shared" si="164"/>
        <v>512</v>
      </c>
      <c r="N344" s="316">
        <f t="shared" si="164"/>
        <v>512</v>
      </c>
      <c r="O344" s="316">
        <f t="shared" si="164"/>
        <v>512</v>
      </c>
      <c r="P344" s="316">
        <f t="shared" si="164"/>
        <v>512</v>
      </c>
      <c r="Q344" s="316">
        <f t="shared" si="164"/>
        <v>512</v>
      </c>
      <c r="R344" s="316">
        <f t="shared" si="164"/>
        <v>512</v>
      </c>
      <c r="S344" s="316">
        <f t="shared" si="164"/>
        <v>512</v>
      </c>
      <c r="T344" s="316">
        <f t="shared" si="164"/>
        <v>6401</v>
      </c>
      <c r="U344" s="316">
        <f t="shared" si="164"/>
        <v>7007</v>
      </c>
      <c r="V344" s="311" t="s">
        <v>204</v>
      </c>
      <c r="W344" s="312" t="s">
        <v>204</v>
      </c>
      <c r="X344" s="434">
        <f>+U344/E344*100</f>
        <v>36.187574239529</v>
      </c>
      <c r="Y344" s="459"/>
    </row>
    <row r="345" spans="1:25" ht="16.5" customHeight="1" hidden="1">
      <c r="A345" s="191"/>
      <c r="B345" s="132"/>
      <c r="C345" s="127" t="s">
        <v>221</v>
      </c>
      <c r="D345" s="127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317"/>
      <c r="V345" s="317"/>
      <c r="W345" s="318"/>
      <c r="X345" s="318"/>
      <c r="Y345" s="365"/>
    </row>
    <row r="346" spans="1:25" ht="9.75" customHeight="1" hidden="1" thickBot="1">
      <c r="A346" s="319"/>
      <c r="B346" s="320"/>
      <c r="C346" s="321"/>
      <c r="D346" s="321"/>
      <c r="E346" s="322"/>
      <c r="F346" s="322"/>
      <c r="G346" s="322"/>
      <c r="H346" s="322"/>
      <c r="I346" s="322"/>
      <c r="J346" s="322"/>
      <c r="K346" s="322"/>
      <c r="L346" s="322"/>
      <c r="M346" s="322"/>
      <c r="N346" s="322"/>
      <c r="O346" s="322"/>
      <c r="P346" s="322"/>
      <c r="Q346" s="322"/>
      <c r="R346" s="322"/>
      <c r="S346" s="322"/>
      <c r="T346" s="322"/>
      <c r="U346" s="323"/>
      <c r="V346" s="323"/>
      <c r="W346" s="324"/>
      <c r="X346" s="324"/>
      <c r="Y346" s="451"/>
    </row>
    <row r="347" spans="1:25" ht="0.75" customHeight="1" thickBot="1">
      <c r="A347" s="325"/>
      <c r="B347" s="158"/>
      <c r="C347" s="326"/>
      <c r="D347" s="326"/>
      <c r="E347" s="144"/>
      <c r="F347" s="144"/>
      <c r="G347" s="144"/>
      <c r="H347" s="144"/>
      <c r="I347" s="144"/>
      <c r="J347" s="144"/>
      <c r="K347" s="144"/>
      <c r="L347" s="144"/>
      <c r="M347" s="144"/>
      <c r="N347" s="144"/>
      <c r="O347" s="144"/>
      <c r="P347" s="144"/>
      <c r="Q347" s="144"/>
      <c r="R347" s="144"/>
      <c r="S347" s="144"/>
      <c r="T347" s="144"/>
      <c r="U347" s="144"/>
      <c r="V347" s="144"/>
      <c r="W347" s="190"/>
      <c r="X347" s="190"/>
      <c r="Y347" s="190"/>
    </row>
    <row r="348" spans="1:25" ht="15.75" thickTop="1">
      <c r="A348" s="327"/>
      <c r="B348" s="327"/>
      <c r="C348" s="327"/>
      <c r="D348" s="327"/>
      <c r="E348" s="328"/>
      <c r="F348" s="328"/>
      <c r="G348" s="328"/>
      <c r="H348" s="328"/>
      <c r="I348" s="328"/>
      <c r="J348" s="328"/>
      <c r="K348" s="328"/>
      <c r="L348" s="328"/>
      <c r="M348" s="328"/>
      <c r="N348" s="328"/>
      <c r="O348" s="328"/>
      <c r="P348" s="328"/>
      <c r="Q348" s="328"/>
      <c r="R348" s="328"/>
      <c r="S348" s="328"/>
      <c r="T348" s="328"/>
      <c r="U348" s="328"/>
      <c r="V348" s="328"/>
      <c r="W348" s="328"/>
      <c r="X348" s="328"/>
      <c r="Y348" s="328"/>
    </row>
    <row r="349" spans="1:25" ht="20.25" customHeight="1">
      <c r="A349" s="195"/>
      <c r="B349" s="195"/>
      <c r="C349" s="195"/>
      <c r="D349" s="195"/>
      <c r="E349" s="277"/>
      <c r="F349" s="277"/>
      <c r="G349" s="277"/>
      <c r="H349" s="277"/>
      <c r="I349" s="277"/>
      <c r="J349" s="277"/>
      <c r="K349" s="277"/>
      <c r="L349" s="277"/>
      <c r="M349" s="277"/>
      <c r="N349" s="277"/>
      <c r="O349" s="277"/>
      <c r="P349" s="277"/>
      <c r="Q349" s="277"/>
      <c r="R349" s="277"/>
      <c r="S349" s="277"/>
      <c r="T349" s="277"/>
      <c r="U349" s="277"/>
      <c r="V349" s="277"/>
      <c r="W349" s="277"/>
      <c r="X349" s="277"/>
      <c r="Y349" s="277"/>
    </row>
    <row r="350" spans="1:25" ht="15.75">
      <c r="A350" s="329" t="s">
        <v>222</v>
      </c>
      <c r="B350" s="329"/>
      <c r="C350" s="329"/>
      <c r="D350" s="329"/>
      <c r="E350" s="330"/>
      <c r="F350" s="330"/>
      <c r="G350" s="330"/>
      <c r="H350" s="330"/>
      <c r="I350" s="330"/>
      <c r="J350" s="330"/>
      <c r="K350" s="330"/>
      <c r="L350" s="330"/>
      <c r="M350" s="330"/>
      <c r="N350" s="330"/>
      <c r="O350" s="330"/>
      <c r="P350" s="330"/>
      <c r="Q350" s="330"/>
      <c r="R350" s="330"/>
      <c r="S350" s="330"/>
      <c r="T350" s="330"/>
      <c r="U350" s="330"/>
      <c r="V350" s="330"/>
      <c r="W350" s="330"/>
      <c r="X350" s="330"/>
      <c r="Y350" s="330"/>
    </row>
    <row r="351" spans="1:25" ht="15">
      <c r="A351" s="195"/>
      <c r="B351" s="195"/>
      <c r="C351" s="195"/>
      <c r="D351" s="195"/>
      <c r="E351" s="330"/>
      <c r="F351" s="330"/>
      <c r="G351" s="331"/>
      <c r="H351" s="331"/>
      <c r="I351" s="331"/>
      <c r="J351" s="331"/>
      <c r="K351" s="331"/>
      <c r="L351" s="331"/>
      <c r="M351" s="331"/>
      <c r="N351" s="331"/>
      <c r="O351" s="331"/>
      <c r="P351" s="331"/>
      <c r="Q351" s="331"/>
      <c r="R351" s="331"/>
      <c r="S351" s="331"/>
      <c r="T351" s="331"/>
      <c r="U351" s="330"/>
      <c r="V351" s="330"/>
      <c r="W351" s="330"/>
      <c r="X351" s="330"/>
      <c r="Y351" s="330"/>
    </row>
    <row r="352" spans="1:25" ht="20.25" customHeight="1" thickBot="1">
      <c r="A352" s="195" t="s">
        <v>0</v>
      </c>
      <c r="B352" s="195"/>
      <c r="C352" s="195"/>
      <c r="D352" s="195"/>
      <c r="E352" s="280"/>
      <c r="F352" s="280"/>
      <c r="G352" s="281"/>
      <c r="H352" s="280"/>
      <c r="I352" s="280"/>
      <c r="J352" s="280"/>
      <c r="K352" s="280"/>
      <c r="L352" s="280"/>
      <c r="M352" s="280"/>
      <c r="N352" s="280"/>
      <c r="O352" s="280"/>
      <c r="P352" s="280"/>
      <c r="Q352" s="280"/>
      <c r="R352" s="280"/>
      <c r="S352" s="280"/>
      <c r="T352" s="280"/>
      <c r="U352" s="36"/>
      <c r="V352" s="36"/>
      <c r="W352" s="36"/>
      <c r="X352" s="36"/>
      <c r="Y352" s="280"/>
    </row>
    <row r="353" spans="1:25" ht="41.25" customHeight="1">
      <c r="A353" s="283"/>
      <c r="B353" s="284"/>
      <c r="C353" s="285"/>
      <c r="D353" s="43" t="s">
        <v>315</v>
      </c>
      <c r="E353" s="45" t="s">
        <v>3</v>
      </c>
      <c r="F353" s="446" t="s">
        <v>312</v>
      </c>
      <c r="G353" s="46" t="s">
        <v>6</v>
      </c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5" t="s">
        <v>274</v>
      </c>
      <c r="U353" s="46" t="s">
        <v>7</v>
      </c>
      <c r="V353" s="47" t="s">
        <v>4</v>
      </c>
      <c r="W353" s="48" t="s">
        <v>5</v>
      </c>
      <c r="X353" s="47" t="s">
        <v>4</v>
      </c>
      <c r="Y353" s="446" t="s">
        <v>312</v>
      </c>
    </row>
    <row r="354" spans="1:25" ht="18" customHeight="1">
      <c r="A354" s="286"/>
      <c r="B354" s="287"/>
      <c r="C354" s="288"/>
      <c r="D354" s="422" t="s">
        <v>334</v>
      </c>
      <c r="E354" s="52">
        <v>2003</v>
      </c>
      <c r="F354" s="447" t="s">
        <v>314</v>
      </c>
      <c r="G354" s="54" t="s">
        <v>10</v>
      </c>
      <c r="H354" s="52" t="s">
        <v>262</v>
      </c>
      <c r="I354" s="53" t="s">
        <v>263</v>
      </c>
      <c r="J354" s="52" t="s">
        <v>264</v>
      </c>
      <c r="K354" s="52" t="s">
        <v>265</v>
      </c>
      <c r="L354" s="52" t="s">
        <v>266</v>
      </c>
      <c r="M354" s="52" t="s">
        <v>267</v>
      </c>
      <c r="N354" s="52" t="s">
        <v>268</v>
      </c>
      <c r="O354" s="52" t="s">
        <v>269</v>
      </c>
      <c r="P354" s="52" t="s">
        <v>270</v>
      </c>
      <c r="Q354" s="52" t="s">
        <v>271</v>
      </c>
      <c r="R354" s="52" t="s">
        <v>272</v>
      </c>
      <c r="S354" s="52" t="s">
        <v>273</v>
      </c>
      <c r="T354" s="52" t="s">
        <v>275</v>
      </c>
      <c r="U354" s="54">
        <v>2004</v>
      </c>
      <c r="V354" s="55" t="s">
        <v>8</v>
      </c>
      <c r="W354" s="56" t="s">
        <v>9</v>
      </c>
      <c r="X354" s="55" t="s">
        <v>8</v>
      </c>
      <c r="Y354" s="447" t="s">
        <v>314</v>
      </c>
    </row>
    <row r="355" spans="1:25" ht="20.25">
      <c r="A355" s="289" t="s">
        <v>1</v>
      </c>
      <c r="B355" s="287"/>
      <c r="C355" s="288"/>
      <c r="D355" s="578" t="s">
        <v>335</v>
      </c>
      <c r="E355" s="58"/>
      <c r="F355" s="448"/>
      <c r="G355" s="54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4" t="s">
        <v>336</v>
      </c>
      <c r="V355" s="55" t="s">
        <v>2</v>
      </c>
      <c r="W355" s="56" t="s">
        <v>2</v>
      </c>
      <c r="X355" s="55" t="s">
        <v>311</v>
      </c>
      <c r="Y355" s="448"/>
    </row>
    <row r="356" spans="1:25" ht="18.75" thickBot="1">
      <c r="A356" s="291"/>
      <c r="B356" s="292"/>
      <c r="C356" s="293"/>
      <c r="D356" s="61"/>
      <c r="E356" s="62"/>
      <c r="F356" s="62"/>
      <c r="G356" s="63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3">
        <v>2003</v>
      </c>
      <c r="W356" s="64">
        <v>2003</v>
      </c>
      <c r="X356" s="63">
        <v>2003</v>
      </c>
      <c r="Y356" s="64"/>
    </row>
    <row r="357" spans="1:25" ht="21.75" customHeight="1" thickTop="1">
      <c r="A357" s="253" t="s">
        <v>0</v>
      </c>
      <c r="B357" s="254"/>
      <c r="C357" s="255"/>
      <c r="D357" s="255"/>
      <c r="E357" s="332"/>
      <c r="F357" s="332"/>
      <c r="G357" s="332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  <c r="T357" s="332"/>
      <c r="U357" s="332"/>
      <c r="V357" s="332"/>
      <c r="W357" s="333"/>
      <c r="X357" s="333"/>
      <c r="Y357" s="333"/>
    </row>
    <row r="358" spans="1:25" ht="23.25" customHeight="1">
      <c r="A358" s="314"/>
      <c r="B358" s="334" t="s">
        <v>223</v>
      </c>
      <c r="C358" s="335" t="s">
        <v>224</v>
      </c>
      <c r="D358" s="304">
        <f>D360+D367</f>
        <v>249073000</v>
      </c>
      <c r="E358" s="304">
        <f>E360+E367</f>
        <v>249824000</v>
      </c>
      <c r="F358" s="304">
        <f>+E358-D358</f>
        <v>751000</v>
      </c>
      <c r="G358" s="304">
        <f>G360+G367</f>
        <v>273980300</v>
      </c>
      <c r="H358" s="304">
        <f aca="true" t="shared" si="165" ref="H358:T358">H360+H367</f>
        <v>27094000</v>
      </c>
      <c r="I358" s="304">
        <f t="shared" si="165"/>
        <v>23679000</v>
      </c>
      <c r="J358" s="304">
        <f t="shared" si="165"/>
        <v>1511000</v>
      </c>
      <c r="K358" s="304">
        <f t="shared" si="165"/>
        <v>135000</v>
      </c>
      <c r="L358" s="304">
        <f t="shared" si="165"/>
        <v>135000</v>
      </c>
      <c r="M358" s="304">
        <f t="shared" si="165"/>
        <v>135000</v>
      </c>
      <c r="N358" s="304">
        <f t="shared" si="165"/>
        <v>135000</v>
      </c>
      <c r="O358" s="304">
        <f t="shared" si="165"/>
        <v>135000</v>
      </c>
      <c r="P358" s="304">
        <f t="shared" si="165"/>
        <v>135000</v>
      </c>
      <c r="Q358" s="304">
        <f t="shared" si="165"/>
        <v>135000</v>
      </c>
      <c r="R358" s="304">
        <f t="shared" si="165"/>
        <v>135000</v>
      </c>
      <c r="S358" s="304">
        <f t="shared" si="165"/>
        <v>135000</v>
      </c>
      <c r="T358" s="304">
        <f t="shared" si="165"/>
        <v>53499000</v>
      </c>
      <c r="U358" s="304">
        <f>U360+U367</f>
        <v>273980300</v>
      </c>
      <c r="V358" s="336" t="s">
        <v>204</v>
      </c>
      <c r="W358" s="337" t="s">
        <v>204</v>
      </c>
      <c r="X358" s="445">
        <f>+U358/E358*100</f>
        <v>109.66932720635327</v>
      </c>
      <c r="Y358" s="458">
        <f>+U358-G358</f>
        <v>0</v>
      </c>
    </row>
    <row r="359" spans="1:25" ht="16.5" hidden="1">
      <c r="A359" s="191"/>
      <c r="B359" s="123"/>
      <c r="C359" s="19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338"/>
      <c r="V359" s="338"/>
      <c r="W359" s="339"/>
      <c r="X359" s="435"/>
      <c r="Y359" s="126"/>
    </row>
    <row r="360" spans="1:25" ht="16.5">
      <c r="A360" s="252">
        <v>500</v>
      </c>
      <c r="B360" s="132"/>
      <c r="C360" s="127" t="s">
        <v>225</v>
      </c>
      <c r="D360" s="128">
        <v>249073000</v>
      </c>
      <c r="E360" s="128">
        <v>249824000</v>
      </c>
      <c r="F360" s="128">
        <f>+E360-D360</f>
        <v>751000</v>
      </c>
      <c r="G360" s="128">
        <v>273980300</v>
      </c>
      <c r="H360" s="128">
        <v>27094000</v>
      </c>
      <c r="I360" s="128">
        <v>23679000</v>
      </c>
      <c r="J360" s="128">
        <v>1511000</v>
      </c>
      <c r="K360" s="128">
        <v>135000</v>
      </c>
      <c r="L360" s="128">
        <f aca="true" t="shared" si="166" ref="L360:S360">K360</f>
        <v>135000</v>
      </c>
      <c r="M360" s="128">
        <f t="shared" si="166"/>
        <v>135000</v>
      </c>
      <c r="N360" s="128">
        <f t="shared" si="166"/>
        <v>135000</v>
      </c>
      <c r="O360" s="128">
        <f t="shared" si="166"/>
        <v>135000</v>
      </c>
      <c r="P360" s="128">
        <f t="shared" si="166"/>
        <v>135000</v>
      </c>
      <c r="Q360" s="128">
        <f t="shared" si="166"/>
        <v>135000</v>
      </c>
      <c r="R360" s="128">
        <f t="shared" si="166"/>
        <v>135000</v>
      </c>
      <c r="S360" s="128">
        <f t="shared" si="166"/>
        <v>135000</v>
      </c>
      <c r="T360" s="128">
        <f>SUM(H360:S360)</f>
        <v>53499000</v>
      </c>
      <c r="U360" s="128">
        <v>273980300</v>
      </c>
      <c r="V360" s="340">
        <f>+U360/E360*100</f>
        <v>109.66932720635327</v>
      </c>
      <c r="W360" s="339"/>
      <c r="X360" s="435">
        <f>+U360/E360*100</f>
        <v>109.66932720635327</v>
      </c>
      <c r="Y360" s="126">
        <f>+U360-G360</f>
        <v>0</v>
      </c>
    </row>
    <row r="361" spans="1:25" ht="16.5" customHeight="1" hidden="1">
      <c r="A361" s="191">
        <v>5000</v>
      </c>
      <c r="B361" s="123"/>
      <c r="C361" s="124" t="s">
        <v>226</v>
      </c>
      <c r="D361" s="125"/>
      <c r="E361" s="125"/>
      <c r="F361" s="125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  <c r="T361" s="128"/>
      <c r="U361" s="338"/>
      <c r="V361" s="340"/>
      <c r="W361" s="339"/>
      <c r="X361" s="435"/>
      <c r="Y361" s="126"/>
    </row>
    <row r="362" spans="1:25" ht="16.5" hidden="1">
      <c r="A362" s="191">
        <v>5001</v>
      </c>
      <c r="B362" s="123"/>
      <c r="C362" s="124" t="s">
        <v>227</v>
      </c>
      <c r="D362" s="125"/>
      <c r="E362" s="125"/>
      <c r="F362" s="125"/>
      <c r="G362" s="128" t="s">
        <v>0</v>
      </c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  <c r="T362" s="128"/>
      <c r="U362" s="338" t="s">
        <v>0</v>
      </c>
      <c r="V362" s="340"/>
      <c r="W362" s="339"/>
      <c r="X362" s="435"/>
      <c r="Y362" s="126"/>
    </row>
    <row r="363" spans="1:25" ht="16.5" hidden="1">
      <c r="A363" s="191">
        <v>5002</v>
      </c>
      <c r="B363" s="123"/>
      <c r="C363" s="124" t="s">
        <v>228</v>
      </c>
      <c r="D363" s="125"/>
      <c r="E363" s="125"/>
      <c r="F363" s="125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  <c r="T363" s="128"/>
      <c r="U363" s="338"/>
      <c r="V363" s="340"/>
      <c r="W363" s="339"/>
      <c r="X363" s="435"/>
      <c r="Y363" s="126"/>
    </row>
    <row r="364" spans="1:25" ht="16.5" hidden="1">
      <c r="A364" s="191">
        <v>5003</v>
      </c>
      <c r="B364" s="123"/>
      <c r="C364" s="124" t="s">
        <v>229</v>
      </c>
      <c r="D364" s="128"/>
      <c r="E364" s="128">
        <v>0</v>
      </c>
      <c r="F364" s="128"/>
      <c r="G364" s="128">
        <v>0</v>
      </c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  <c r="T364" s="128"/>
      <c r="U364" s="317">
        <v>0</v>
      </c>
      <c r="V364" s="340"/>
      <c r="W364" s="339"/>
      <c r="X364" s="435"/>
      <c r="Y364" s="126">
        <v>0</v>
      </c>
    </row>
    <row r="365" spans="1:25" ht="16.5" customHeight="1" hidden="1">
      <c r="A365" s="191">
        <v>5004</v>
      </c>
      <c r="B365" s="123"/>
      <c r="C365" s="124" t="s">
        <v>230</v>
      </c>
      <c r="D365" s="125"/>
      <c r="E365" s="125"/>
      <c r="F365" s="125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  <c r="T365" s="128"/>
      <c r="U365" s="338"/>
      <c r="V365" s="340"/>
      <c r="W365" s="339"/>
      <c r="X365" s="435"/>
      <c r="Y365" s="126"/>
    </row>
    <row r="366" spans="1:25" ht="16.5" customHeight="1" hidden="1">
      <c r="A366" s="191"/>
      <c r="B366" s="123"/>
      <c r="C366" s="124"/>
      <c r="D366" s="125"/>
      <c r="E366" s="125"/>
      <c r="F366" s="125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  <c r="T366" s="128"/>
      <c r="U366" s="338"/>
      <c r="V366" s="340"/>
      <c r="W366" s="339"/>
      <c r="X366" s="435"/>
      <c r="Y366" s="126"/>
    </row>
    <row r="367" spans="1:25" ht="16.5" customHeight="1" hidden="1">
      <c r="A367" s="252">
        <v>501</v>
      </c>
      <c r="B367" s="132"/>
      <c r="C367" s="127" t="s">
        <v>231</v>
      </c>
      <c r="D367" s="125"/>
      <c r="E367" s="125">
        <f>SUM(E368:E372)</f>
        <v>0</v>
      </c>
      <c r="F367" s="125"/>
      <c r="G367" s="419">
        <v>0</v>
      </c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  <c r="T367" s="128"/>
      <c r="U367" s="338">
        <f>SUM(U368:U372)</f>
        <v>0</v>
      </c>
      <c r="V367" s="340"/>
      <c r="W367" s="339"/>
      <c r="X367" s="435"/>
      <c r="Y367" s="126">
        <v>0</v>
      </c>
    </row>
    <row r="368" spans="1:25" ht="16.5" customHeight="1" hidden="1">
      <c r="A368" s="191">
        <v>5010</v>
      </c>
      <c r="B368" s="123"/>
      <c r="C368" s="124" t="s">
        <v>232</v>
      </c>
      <c r="D368" s="125"/>
      <c r="E368" s="125"/>
      <c r="F368" s="125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8"/>
      <c r="T368" s="128"/>
      <c r="U368" s="338"/>
      <c r="V368" s="340"/>
      <c r="W368" s="339"/>
      <c r="X368" s="435"/>
      <c r="Y368" s="126"/>
    </row>
    <row r="369" spans="1:25" ht="16.5" customHeight="1" hidden="1">
      <c r="A369" s="191">
        <v>5011</v>
      </c>
      <c r="B369" s="123"/>
      <c r="C369" s="124" t="s">
        <v>233</v>
      </c>
      <c r="D369" s="125"/>
      <c r="E369" s="125"/>
      <c r="F369" s="125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338"/>
      <c r="V369" s="340"/>
      <c r="W369" s="339"/>
      <c r="X369" s="435"/>
      <c r="Y369" s="126"/>
    </row>
    <row r="370" spans="1:25" ht="16.5" customHeight="1" hidden="1">
      <c r="A370" s="191">
        <v>5012</v>
      </c>
      <c r="B370" s="123"/>
      <c r="C370" s="124" t="s">
        <v>234</v>
      </c>
      <c r="D370" s="125"/>
      <c r="E370" s="125"/>
      <c r="F370" s="125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8"/>
      <c r="T370" s="128"/>
      <c r="U370" s="338"/>
      <c r="V370" s="340"/>
      <c r="W370" s="339"/>
      <c r="X370" s="435"/>
      <c r="Y370" s="126"/>
    </row>
    <row r="371" spans="1:25" ht="16.5" customHeight="1" hidden="1">
      <c r="A371" s="191">
        <v>5013</v>
      </c>
      <c r="B371" s="123"/>
      <c r="C371" s="124" t="s">
        <v>235</v>
      </c>
      <c r="D371" s="125"/>
      <c r="E371" s="125"/>
      <c r="F371" s="125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8"/>
      <c r="T371" s="128"/>
      <c r="U371" s="338"/>
      <c r="V371" s="340"/>
      <c r="W371" s="339"/>
      <c r="X371" s="435"/>
      <c r="Y371" s="126"/>
    </row>
    <row r="372" spans="1:25" ht="17.25" customHeight="1" hidden="1" thickBot="1">
      <c r="A372" s="341">
        <v>5014</v>
      </c>
      <c r="B372" s="342"/>
      <c r="C372" s="343" t="s">
        <v>236</v>
      </c>
      <c r="D372" s="344"/>
      <c r="E372" s="344"/>
      <c r="F372" s="344"/>
      <c r="G372" s="345"/>
      <c r="H372" s="345"/>
      <c r="I372" s="345"/>
      <c r="J372" s="345"/>
      <c r="K372" s="345"/>
      <c r="L372" s="345"/>
      <c r="M372" s="345"/>
      <c r="N372" s="345"/>
      <c r="O372" s="345"/>
      <c r="P372" s="345"/>
      <c r="Q372" s="345"/>
      <c r="R372" s="345"/>
      <c r="S372" s="345"/>
      <c r="T372" s="345"/>
      <c r="U372" s="346"/>
      <c r="V372" s="347"/>
      <c r="W372" s="348"/>
      <c r="X372" s="441"/>
      <c r="Y372" s="452"/>
    </row>
    <row r="373" spans="1:25" ht="17.25" customHeight="1">
      <c r="A373" s="349"/>
      <c r="B373" s="159"/>
      <c r="C373" s="350"/>
      <c r="D373" s="351"/>
      <c r="E373" s="351"/>
      <c r="F373" s="351"/>
      <c r="G373" s="352"/>
      <c r="H373" s="352"/>
      <c r="I373" s="352"/>
      <c r="J373" s="352"/>
      <c r="K373" s="352"/>
      <c r="L373" s="352"/>
      <c r="M373" s="352"/>
      <c r="N373" s="352"/>
      <c r="O373" s="352"/>
      <c r="P373" s="352"/>
      <c r="Q373" s="352"/>
      <c r="R373" s="352"/>
      <c r="S373" s="352"/>
      <c r="T373" s="352"/>
      <c r="U373" s="353"/>
      <c r="V373" s="354"/>
      <c r="W373" s="355"/>
      <c r="X373" s="442"/>
      <c r="Y373" s="405"/>
    </row>
    <row r="374" spans="1:32" ht="15.75">
      <c r="A374" s="314"/>
      <c r="B374" s="117" t="s">
        <v>237</v>
      </c>
      <c r="C374" s="300" t="s">
        <v>238</v>
      </c>
      <c r="D374" s="304">
        <f>D376+D384</f>
        <v>233393000</v>
      </c>
      <c r="E374" s="304">
        <f>E376+E384</f>
        <v>238628000</v>
      </c>
      <c r="F374" s="304">
        <f>+E374-D374</f>
        <v>5235000</v>
      </c>
      <c r="G374" s="304">
        <v>259567463.4180625</v>
      </c>
      <c r="H374" s="304">
        <f aca="true" t="shared" si="167" ref="H374:T374">H376+H384</f>
        <v>27525000</v>
      </c>
      <c r="I374" s="304">
        <f t="shared" si="167"/>
        <v>19931000</v>
      </c>
      <c r="J374" s="304">
        <f t="shared" si="167"/>
        <v>0</v>
      </c>
      <c r="K374" s="304">
        <f t="shared" si="167"/>
        <v>0</v>
      </c>
      <c r="L374" s="304">
        <f t="shared" si="167"/>
        <v>0</v>
      </c>
      <c r="M374" s="304">
        <f t="shared" si="167"/>
        <v>0</v>
      </c>
      <c r="N374" s="304">
        <f t="shared" si="167"/>
        <v>0</v>
      </c>
      <c r="O374" s="304">
        <f t="shared" si="167"/>
        <v>0</v>
      </c>
      <c r="P374" s="304">
        <f t="shared" si="167"/>
        <v>0</v>
      </c>
      <c r="Q374" s="304">
        <f t="shared" si="167"/>
        <v>0</v>
      </c>
      <c r="R374" s="304">
        <f t="shared" si="167"/>
        <v>0</v>
      </c>
      <c r="S374" s="304">
        <f t="shared" si="167"/>
        <v>0</v>
      </c>
      <c r="T374" s="304">
        <f t="shared" si="167"/>
        <v>47456000</v>
      </c>
      <c r="U374" s="304">
        <f>U376+U384</f>
        <v>259567464.39908606</v>
      </c>
      <c r="V374" s="356" t="s">
        <v>204</v>
      </c>
      <c r="W374" s="312" t="s">
        <v>204</v>
      </c>
      <c r="X374" s="445">
        <f>+U374/E374*100</f>
        <v>108.77494024133215</v>
      </c>
      <c r="Y374" s="458">
        <v>0</v>
      </c>
      <c r="Z374" s="19"/>
      <c r="AA374" s="19"/>
      <c r="AB374" s="19"/>
      <c r="AC374" s="19"/>
      <c r="AD374" s="19"/>
      <c r="AE374" s="19"/>
      <c r="AF374" s="19"/>
    </row>
    <row r="375" spans="1:32" ht="15.75" hidden="1">
      <c r="A375" s="191"/>
      <c r="B375" s="123"/>
      <c r="C375" s="124"/>
      <c r="D375" s="125"/>
      <c r="E375" s="125"/>
      <c r="F375" s="125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8"/>
      <c r="T375" s="128"/>
      <c r="U375" s="125"/>
      <c r="V375" s="357"/>
      <c r="W375" s="126"/>
      <c r="X375" s="435"/>
      <c r="Y375" s="126"/>
      <c r="Z375" s="19"/>
      <c r="AA375" s="19"/>
      <c r="AB375" s="19"/>
      <c r="AC375" s="19"/>
      <c r="AD375" s="19"/>
      <c r="AE375" s="19"/>
      <c r="AF375" s="19"/>
    </row>
    <row r="376" spans="1:32" ht="16.5">
      <c r="A376" s="252">
        <v>550</v>
      </c>
      <c r="B376" s="132"/>
      <c r="C376" s="127" t="s">
        <v>239</v>
      </c>
      <c r="D376" s="128">
        <v>233393000</v>
      </c>
      <c r="E376" s="128">
        <v>238628000</v>
      </c>
      <c r="F376" s="128">
        <f>+E376-D376</f>
        <v>5235000</v>
      </c>
      <c r="G376" s="128">
        <v>259567463.4180625</v>
      </c>
      <c r="H376" s="128">
        <v>27525000</v>
      </c>
      <c r="I376" s="128">
        <v>19931000</v>
      </c>
      <c r="J376" s="128">
        <v>0</v>
      </c>
      <c r="K376" s="128">
        <v>0</v>
      </c>
      <c r="L376" s="128">
        <f aca="true" t="shared" si="168" ref="L376:S376">K376</f>
        <v>0</v>
      </c>
      <c r="M376" s="128">
        <f t="shared" si="168"/>
        <v>0</v>
      </c>
      <c r="N376" s="128">
        <f t="shared" si="168"/>
        <v>0</v>
      </c>
      <c r="O376" s="128">
        <f t="shared" si="168"/>
        <v>0</v>
      </c>
      <c r="P376" s="128">
        <f t="shared" si="168"/>
        <v>0</v>
      </c>
      <c r="Q376" s="128">
        <f t="shared" si="168"/>
        <v>0</v>
      </c>
      <c r="R376" s="128">
        <f t="shared" si="168"/>
        <v>0</v>
      </c>
      <c r="S376" s="128">
        <f t="shared" si="168"/>
        <v>0</v>
      </c>
      <c r="T376" s="128">
        <f>SUM(H376:S376)</f>
        <v>47456000</v>
      </c>
      <c r="U376" s="128">
        <f>+U360+U314+U344+1</f>
        <v>259567464.39908606</v>
      </c>
      <c r="V376" s="340">
        <f>+U376/E376*100</f>
        <v>108.77494024133215</v>
      </c>
      <c r="W376" s="126"/>
      <c r="X376" s="435">
        <f>+U376/E376*100</f>
        <v>108.77494024133215</v>
      </c>
      <c r="Y376" s="126">
        <v>0</v>
      </c>
      <c r="Z376" s="19"/>
      <c r="AA376" s="19"/>
      <c r="AB376" s="19"/>
      <c r="AC376" s="19"/>
      <c r="AD376" s="19"/>
      <c r="AE376" s="19"/>
      <c r="AF376" s="19"/>
    </row>
    <row r="377" spans="1:32" ht="16.5" customHeight="1" hidden="1">
      <c r="A377" s="191">
        <v>5500</v>
      </c>
      <c r="B377" s="123"/>
      <c r="C377" s="124" t="s">
        <v>240</v>
      </c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357"/>
      <c r="W377" s="126"/>
      <c r="X377" s="435"/>
      <c r="Y377" s="126"/>
      <c r="Z377" s="19"/>
      <c r="AA377" s="19"/>
      <c r="AB377" s="19"/>
      <c r="AC377" s="19"/>
      <c r="AD377" s="19"/>
      <c r="AE377" s="19"/>
      <c r="AF377" s="19"/>
    </row>
    <row r="378" spans="1:32" ht="18.75" customHeight="1" hidden="1">
      <c r="A378" s="191">
        <v>5501</v>
      </c>
      <c r="B378" s="123"/>
      <c r="C378" s="124" t="s">
        <v>241</v>
      </c>
      <c r="D378" s="125"/>
      <c r="E378" s="125">
        <f>156220375-3382994</f>
        <v>152837381</v>
      </c>
      <c r="F378" s="125"/>
      <c r="G378" s="125" t="s">
        <v>0</v>
      </c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 t="s">
        <v>0</v>
      </c>
      <c r="V378" s="357"/>
      <c r="W378" s="126"/>
      <c r="X378" s="435"/>
      <c r="Y378" s="126"/>
      <c r="Z378" s="19"/>
      <c r="AA378" s="19"/>
      <c r="AB378" s="19"/>
      <c r="AC378" s="19"/>
      <c r="AD378" s="19"/>
      <c r="AE378" s="19"/>
      <c r="AF378" s="19"/>
    </row>
    <row r="379" spans="1:32" ht="15" hidden="1">
      <c r="A379" s="191">
        <v>5502</v>
      </c>
      <c r="B379" s="123"/>
      <c r="C379" s="124" t="s">
        <v>242</v>
      </c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357"/>
      <c r="W379" s="126"/>
      <c r="X379" s="435"/>
      <c r="Y379" s="126"/>
      <c r="Z379" s="19"/>
      <c r="AA379" s="19"/>
      <c r="AB379" s="19"/>
      <c r="AC379" s="19"/>
      <c r="AD379" s="19"/>
      <c r="AE379" s="19"/>
      <c r="AF379" s="19"/>
    </row>
    <row r="380" spans="1:32" ht="15" hidden="1">
      <c r="A380" s="191">
        <v>5503</v>
      </c>
      <c r="B380" s="123"/>
      <c r="C380" s="124" t="s">
        <v>243</v>
      </c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357"/>
      <c r="W380" s="126"/>
      <c r="X380" s="435"/>
      <c r="Y380" s="126"/>
      <c r="Z380" s="19"/>
      <c r="AA380" s="19"/>
      <c r="AB380" s="19"/>
      <c r="AC380" s="19"/>
      <c r="AD380" s="19"/>
      <c r="AE380" s="19"/>
      <c r="AF380" s="19"/>
    </row>
    <row r="381" spans="1:32" ht="16.5" customHeight="1" hidden="1">
      <c r="A381" s="191">
        <v>5504</v>
      </c>
      <c r="B381" s="123"/>
      <c r="C381" s="124" t="s">
        <v>244</v>
      </c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357"/>
      <c r="W381" s="126"/>
      <c r="X381" s="435"/>
      <c r="Y381" s="126"/>
      <c r="Z381" s="19"/>
      <c r="AA381" s="19"/>
      <c r="AB381" s="19"/>
      <c r="AC381" s="19"/>
      <c r="AD381" s="19"/>
      <c r="AE381" s="19"/>
      <c r="AF381" s="19"/>
    </row>
    <row r="382" spans="1:32" ht="16.5" customHeight="1" thickBot="1">
      <c r="A382" s="319"/>
      <c r="B382" s="320"/>
      <c r="C382" s="321"/>
      <c r="D382" s="358"/>
      <c r="E382" s="358"/>
      <c r="F382" s="358"/>
      <c r="G382" s="358"/>
      <c r="H382" s="358"/>
      <c r="I382" s="358"/>
      <c r="J382" s="358"/>
      <c r="K382" s="358"/>
      <c r="L382" s="358"/>
      <c r="M382" s="358"/>
      <c r="N382" s="358"/>
      <c r="O382" s="358"/>
      <c r="P382" s="358"/>
      <c r="Q382" s="358"/>
      <c r="R382" s="358"/>
      <c r="S382" s="358"/>
      <c r="T382" s="358"/>
      <c r="U382" s="358"/>
      <c r="V382" s="359"/>
      <c r="W382" s="360"/>
      <c r="X382" s="436"/>
      <c r="Y382" s="360"/>
      <c r="Z382" s="19"/>
      <c r="AA382" s="19"/>
      <c r="AB382" s="19"/>
      <c r="AC382" s="19"/>
      <c r="AD382" s="19"/>
      <c r="AE382" s="19"/>
      <c r="AF382" s="19"/>
    </row>
    <row r="383" spans="1:32" ht="18" customHeight="1">
      <c r="A383" s="361"/>
      <c r="B383" s="158"/>
      <c r="C383" s="362" t="s">
        <v>245</v>
      </c>
      <c r="D383" s="231">
        <f>+D360-D376</f>
        <v>15680000</v>
      </c>
      <c r="E383" s="231">
        <f>+E360-E376</f>
        <v>11196000</v>
      </c>
      <c r="F383" s="231">
        <f>+E383-D383</f>
        <v>-4484000</v>
      </c>
      <c r="G383" s="231">
        <v>14412836.581937492</v>
      </c>
      <c r="H383" s="231">
        <f aca="true" t="shared" si="169" ref="H383:T383">+H360-H376</f>
        <v>-431000</v>
      </c>
      <c r="I383" s="231">
        <f t="shared" si="169"/>
        <v>3748000</v>
      </c>
      <c r="J383" s="231">
        <f t="shared" si="169"/>
        <v>1511000</v>
      </c>
      <c r="K383" s="231">
        <f t="shared" si="169"/>
        <v>135000</v>
      </c>
      <c r="L383" s="231">
        <f t="shared" si="169"/>
        <v>135000</v>
      </c>
      <c r="M383" s="231">
        <f t="shared" si="169"/>
        <v>135000</v>
      </c>
      <c r="N383" s="231">
        <f t="shared" si="169"/>
        <v>135000</v>
      </c>
      <c r="O383" s="231">
        <f t="shared" si="169"/>
        <v>135000</v>
      </c>
      <c r="P383" s="231">
        <f t="shared" si="169"/>
        <v>135000</v>
      </c>
      <c r="Q383" s="231">
        <f t="shared" si="169"/>
        <v>135000</v>
      </c>
      <c r="R383" s="231">
        <f t="shared" si="169"/>
        <v>135000</v>
      </c>
      <c r="S383" s="231">
        <f t="shared" si="169"/>
        <v>135000</v>
      </c>
      <c r="T383" s="231">
        <f t="shared" si="169"/>
        <v>6043000</v>
      </c>
      <c r="U383" s="231">
        <f>+U360-U376+1</f>
        <v>14412836.600913942</v>
      </c>
      <c r="V383" s="340">
        <f>+U383/E383*100</f>
        <v>128.73201679987443</v>
      </c>
      <c r="W383" s="363"/>
      <c r="X383" s="437">
        <f>+U383/E383*100</f>
        <v>128.73201679987443</v>
      </c>
      <c r="Y383" s="363">
        <f>+U383-G383</f>
        <v>0.018976449966430664</v>
      </c>
      <c r="Z383" s="19"/>
      <c r="AA383" s="19"/>
      <c r="AB383" s="19"/>
      <c r="AC383" s="19"/>
      <c r="AD383" s="19"/>
      <c r="AE383" s="19"/>
      <c r="AF383" s="19"/>
    </row>
    <row r="384" spans="1:137" ht="17.25" customHeight="1" hidden="1">
      <c r="A384" s="252">
        <v>551</v>
      </c>
      <c r="B384" s="132"/>
      <c r="C384" s="127" t="s">
        <v>246</v>
      </c>
      <c r="D384" s="128"/>
      <c r="E384" s="128">
        <f>SUM(E385:E388)</f>
        <v>0</v>
      </c>
      <c r="F384" s="128"/>
      <c r="G384" s="128">
        <v>0</v>
      </c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8"/>
      <c r="T384" s="128"/>
      <c r="U384" s="128">
        <f>SUM(U385:U388)</f>
        <v>0</v>
      </c>
      <c r="V384" s="364"/>
      <c r="W384" s="365"/>
      <c r="X384" s="438"/>
      <c r="Y384" s="365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</row>
    <row r="385" spans="1:32" ht="17.25" customHeight="1" hidden="1">
      <c r="A385" s="191">
        <v>5510</v>
      </c>
      <c r="B385" s="123"/>
      <c r="C385" s="127" t="s">
        <v>247</v>
      </c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8"/>
      <c r="T385" s="128"/>
      <c r="U385" s="128"/>
      <c r="V385" s="364"/>
      <c r="W385" s="365"/>
      <c r="X385" s="438"/>
      <c r="Y385" s="365"/>
      <c r="Z385" s="19"/>
      <c r="AA385" s="19"/>
      <c r="AB385" s="19"/>
      <c r="AC385" s="19"/>
      <c r="AD385" s="19"/>
      <c r="AE385" s="19"/>
      <c r="AF385" s="19"/>
    </row>
    <row r="386" spans="1:32" ht="17.25" customHeight="1" hidden="1">
      <c r="A386" s="191">
        <v>5511</v>
      </c>
      <c r="B386" s="123"/>
      <c r="C386" s="127" t="s">
        <v>248</v>
      </c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364"/>
      <c r="W386" s="365"/>
      <c r="X386" s="438"/>
      <c r="Y386" s="365"/>
      <c r="Z386" s="19"/>
      <c r="AA386" s="19"/>
      <c r="AB386" s="19"/>
      <c r="AC386" s="19"/>
      <c r="AD386" s="19"/>
      <c r="AE386" s="19"/>
      <c r="AF386" s="19"/>
    </row>
    <row r="387" spans="1:32" ht="17.25" customHeight="1" hidden="1">
      <c r="A387" s="191">
        <v>5512</v>
      </c>
      <c r="B387" s="123"/>
      <c r="C387" s="127" t="s">
        <v>249</v>
      </c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364"/>
      <c r="W387" s="365"/>
      <c r="X387" s="438"/>
      <c r="Y387" s="365"/>
      <c r="Z387" s="19"/>
      <c r="AA387" s="19"/>
      <c r="AB387" s="19"/>
      <c r="AC387" s="19"/>
      <c r="AD387" s="19"/>
      <c r="AE387" s="19"/>
      <c r="AF387" s="19"/>
    </row>
    <row r="388" spans="1:32" ht="17.25" customHeight="1" hidden="1" thickBot="1">
      <c r="A388" s="341">
        <v>5513</v>
      </c>
      <c r="B388" s="342"/>
      <c r="C388" s="366" t="s">
        <v>250</v>
      </c>
      <c r="D388" s="345"/>
      <c r="E388" s="345"/>
      <c r="F388" s="345"/>
      <c r="G388" s="345"/>
      <c r="H388" s="345"/>
      <c r="I388" s="345"/>
      <c r="J388" s="345"/>
      <c r="K388" s="345"/>
      <c r="L388" s="345"/>
      <c r="M388" s="345"/>
      <c r="N388" s="345"/>
      <c r="O388" s="345"/>
      <c r="P388" s="345"/>
      <c r="Q388" s="345"/>
      <c r="R388" s="345"/>
      <c r="S388" s="345"/>
      <c r="T388" s="345"/>
      <c r="U388" s="345"/>
      <c r="V388" s="367"/>
      <c r="W388" s="368"/>
      <c r="X388" s="439"/>
      <c r="Y388" s="368"/>
      <c r="Z388" s="19"/>
      <c r="AA388" s="19"/>
      <c r="AB388" s="19"/>
      <c r="AC388" s="19"/>
      <c r="AD388" s="19"/>
      <c r="AE388" s="19"/>
      <c r="AF388" s="19"/>
    </row>
    <row r="389" spans="1:32" ht="17.25" customHeight="1" hidden="1" thickBot="1" thickTop="1">
      <c r="A389" s="341"/>
      <c r="B389" s="342"/>
      <c r="C389" s="369"/>
      <c r="D389" s="345"/>
      <c r="E389" s="345"/>
      <c r="F389" s="345"/>
      <c r="G389" s="345"/>
      <c r="H389" s="345"/>
      <c r="I389" s="345"/>
      <c r="J389" s="345"/>
      <c r="K389" s="345"/>
      <c r="L389" s="345"/>
      <c r="M389" s="345"/>
      <c r="N389" s="345"/>
      <c r="O389" s="345"/>
      <c r="P389" s="345"/>
      <c r="Q389" s="345"/>
      <c r="R389" s="345"/>
      <c r="S389" s="345"/>
      <c r="T389" s="345"/>
      <c r="U389" s="345"/>
      <c r="V389" s="367"/>
      <c r="W389" s="368"/>
      <c r="X389" s="439"/>
      <c r="Y389" s="368"/>
      <c r="Z389" s="19"/>
      <c r="AA389" s="19"/>
      <c r="AB389" s="19"/>
      <c r="AC389" s="19"/>
      <c r="AD389" s="19"/>
      <c r="AE389" s="19"/>
      <c r="AF389" s="19"/>
    </row>
    <row r="390" spans="1:32" ht="17.25" customHeight="1">
      <c r="A390" s="349"/>
      <c r="B390" s="159"/>
      <c r="C390" s="370"/>
      <c r="D390" s="371"/>
      <c r="E390" s="371"/>
      <c r="F390" s="463"/>
      <c r="G390" s="372"/>
      <c r="H390" s="372"/>
      <c r="I390" s="372"/>
      <c r="J390" s="372"/>
      <c r="K390" s="372"/>
      <c r="L390" s="372"/>
      <c r="M390" s="372"/>
      <c r="N390" s="372"/>
      <c r="O390" s="372"/>
      <c r="P390" s="372"/>
      <c r="Q390" s="372"/>
      <c r="R390" s="372"/>
      <c r="S390" s="372"/>
      <c r="T390" s="372"/>
      <c r="U390" s="352"/>
      <c r="V390" s="373"/>
      <c r="W390" s="371"/>
      <c r="X390" s="440"/>
      <c r="Y390" s="371"/>
      <c r="Z390" s="19"/>
      <c r="AA390" s="19"/>
      <c r="AB390" s="19"/>
      <c r="AC390" s="19"/>
      <c r="AD390" s="19"/>
      <c r="AE390" s="19"/>
      <c r="AF390" s="19"/>
    </row>
    <row r="391" spans="1:32" ht="17.25" customHeight="1" thickBot="1">
      <c r="A391" s="349"/>
      <c r="B391" s="159"/>
      <c r="C391" s="370" t="s">
        <v>251</v>
      </c>
      <c r="D391" s="352">
        <f>7686000+D383</f>
        <v>23366000</v>
      </c>
      <c r="E391" s="352">
        <f>7686000+E383</f>
        <v>18882000</v>
      </c>
      <c r="F391" s="352">
        <f>+E391-D391</f>
        <v>-4484000</v>
      </c>
      <c r="G391" s="352">
        <f>+G383+E391</f>
        <v>33294836.581937492</v>
      </c>
      <c r="H391" s="352">
        <f>+E391+H383</f>
        <v>18451000</v>
      </c>
      <c r="I391" s="352">
        <f>+H391+I383</f>
        <v>22199000</v>
      </c>
      <c r="J391" s="352">
        <f aca="true" t="shared" si="170" ref="J391:T391">+I391+J383</f>
        <v>23710000</v>
      </c>
      <c r="K391" s="352">
        <f t="shared" si="170"/>
        <v>23845000</v>
      </c>
      <c r="L391" s="352">
        <f t="shared" si="170"/>
        <v>23980000</v>
      </c>
      <c r="M391" s="352">
        <f t="shared" si="170"/>
        <v>24115000</v>
      </c>
      <c r="N391" s="352">
        <f t="shared" si="170"/>
        <v>24250000</v>
      </c>
      <c r="O391" s="352">
        <f t="shared" si="170"/>
        <v>24385000</v>
      </c>
      <c r="P391" s="352">
        <f t="shared" si="170"/>
        <v>24520000</v>
      </c>
      <c r="Q391" s="352">
        <f t="shared" si="170"/>
        <v>24655000</v>
      </c>
      <c r="R391" s="352">
        <f t="shared" si="170"/>
        <v>24790000</v>
      </c>
      <c r="S391" s="352">
        <f t="shared" si="170"/>
        <v>24925000</v>
      </c>
      <c r="T391" s="352">
        <f t="shared" si="170"/>
        <v>30968000</v>
      </c>
      <c r="U391" s="352">
        <f>+U383+E391</f>
        <v>33294836.60091394</v>
      </c>
      <c r="V391" s="352"/>
      <c r="W391" s="371"/>
      <c r="X391" s="440">
        <f>+U391/E391*100</f>
        <v>176.3310909909646</v>
      </c>
      <c r="Y391" s="371">
        <f>+U391-G391</f>
        <v>0.018976449966430664</v>
      </c>
      <c r="Z391" s="19"/>
      <c r="AA391" s="19"/>
      <c r="AB391" s="19"/>
      <c r="AC391" s="19"/>
      <c r="AD391" s="19"/>
      <c r="AE391" s="19"/>
      <c r="AF391" s="19"/>
    </row>
    <row r="392" spans="1:25" ht="17.25" thickTop="1">
      <c r="A392" s="374" t="s">
        <v>0</v>
      </c>
      <c r="B392" s="375" t="s">
        <v>252</v>
      </c>
      <c r="C392" s="376" t="s">
        <v>253</v>
      </c>
      <c r="D392" s="376"/>
      <c r="E392" s="377"/>
      <c r="F392" s="377"/>
      <c r="G392" s="377"/>
      <c r="H392" s="377"/>
      <c r="I392" s="377"/>
      <c r="J392" s="377"/>
      <c r="K392" s="377"/>
      <c r="L392" s="377"/>
      <c r="M392" s="377"/>
      <c r="N392" s="377"/>
      <c r="O392" s="377"/>
      <c r="P392" s="377"/>
      <c r="Q392" s="377"/>
      <c r="R392" s="377"/>
      <c r="S392" s="377"/>
      <c r="T392" s="377"/>
      <c r="U392" s="378"/>
      <c r="V392" s="378"/>
      <c r="W392" s="379"/>
      <c r="X392" s="443"/>
      <c r="Y392" s="453"/>
    </row>
    <row r="393" spans="1:25" ht="17.25" thickBot="1">
      <c r="A393" s="380"/>
      <c r="B393" s="381"/>
      <c r="C393" s="382" t="s">
        <v>254</v>
      </c>
      <c r="D393" s="383">
        <f>+D50-D167+D328-D337+D360-D376</f>
        <v>-108445</v>
      </c>
      <c r="E393" s="383">
        <f>+E50-E167+E328-E337+E360-E376</f>
        <v>-129147.9999999404</v>
      </c>
      <c r="F393" s="383"/>
      <c r="G393" s="383">
        <f>+G50-G167+G328-G337+G360-G376</f>
        <v>-0.2585551142692566</v>
      </c>
      <c r="H393" s="383"/>
      <c r="I393" s="383"/>
      <c r="J393" s="383"/>
      <c r="K393" s="383"/>
      <c r="L393" s="383"/>
      <c r="M393" s="383"/>
      <c r="N393" s="383"/>
      <c r="O393" s="383"/>
      <c r="P393" s="383"/>
      <c r="Q393" s="383"/>
      <c r="R393" s="383"/>
      <c r="S393" s="383"/>
      <c r="T393" s="383"/>
      <c r="U393" s="383">
        <v>0</v>
      </c>
      <c r="V393" s="384" t="s">
        <v>204</v>
      </c>
      <c r="W393" s="385" t="s">
        <v>204</v>
      </c>
      <c r="X393" s="444"/>
      <c r="Y393" s="444"/>
    </row>
    <row r="394" spans="1:25" ht="39" customHeight="1" thickBot="1">
      <c r="A394" s="386" t="s">
        <v>0</v>
      </c>
      <c r="B394" s="387" t="s">
        <v>255</v>
      </c>
      <c r="C394" s="388" t="s">
        <v>256</v>
      </c>
      <c r="D394" s="389">
        <f>+D344+D358-D374-D393</f>
        <v>15795452</v>
      </c>
      <c r="E394" s="389">
        <f>+E344+E358-E374-E393</f>
        <v>11344510.99999994</v>
      </c>
      <c r="F394" s="389"/>
      <c r="G394" s="389">
        <f aca="true" t="shared" si="171" ref="G394:U394">+G344+G358-G374-G393</f>
        <v>14419843.840492606</v>
      </c>
      <c r="H394" s="389">
        <f t="shared" si="171"/>
        <v>-430390</v>
      </c>
      <c r="I394" s="389">
        <f t="shared" si="171"/>
        <v>3748617</v>
      </c>
      <c r="J394" s="389">
        <f t="shared" si="171"/>
        <v>1511566</v>
      </c>
      <c r="K394" s="389">
        <f t="shared" si="171"/>
        <v>135512</v>
      </c>
      <c r="L394" s="389">
        <f t="shared" si="171"/>
        <v>135512</v>
      </c>
      <c r="M394" s="389">
        <f t="shared" si="171"/>
        <v>135512</v>
      </c>
      <c r="N394" s="389">
        <f t="shared" si="171"/>
        <v>135512</v>
      </c>
      <c r="O394" s="389">
        <f t="shared" si="171"/>
        <v>135512</v>
      </c>
      <c r="P394" s="389">
        <f t="shared" si="171"/>
        <v>135512</v>
      </c>
      <c r="Q394" s="389">
        <f t="shared" si="171"/>
        <v>135512</v>
      </c>
      <c r="R394" s="389">
        <f t="shared" si="171"/>
        <v>135512</v>
      </c>
      <c r="S394" s="389">
        <f t="shared" si="171"/>
        <v>135512</v>
      </c>
      <c r="T394" s="389">
        <f t="shared" si="171"/>
        <v>6049401</v>
      </c>
      <c r="U394" s="389">
        <f>+U344+U358-U374-U393+1</f>
        <v>14419843.600913942</v>
      </c>
      <c r="V394" s="390" t="s">
        <v>204</v>
      </c>
      <c r="W394" s="391" t="s">
        <v>204</v>
      </c>
      <c r="X394" s="391"/>
      <c r="Y394" s="454"/>
    </row>
    <row r="395" spans="1:25" ht="13.5" customHeight="1" thickBot="1" thickTop="1">
      <c r="A395" s="327"/>
      <c r="B395" s="327"/>
      <c r="C395" s="327"/>
      <c r="D395" s="195"/>
      <c r="E395" s="277"/>
      <c r="F395" s="277"/>
      <c r="G395" s="277"/>
      <c r="H395" s="277"/>
      <c r="I395" s="277"/>
      <c r="J395" s="277"/>
      <c r="K395" s="277"/>
      <c r="L395" s="277"/>
      <c r="M395" s="277"/>
      <c r="N395" s="277"/>
      <c r="O395" s="277"/>
      <c r="P395" s="277"/>
      <c r="Q395" s="277"/>
      <c r="R395" s="277"/>
      <c r="S395" s="277"/>
      <c r="T395" s="277"/>
      <c r="U395" s="277"/>
      <c r="V395" s="277"/>
      <c r="W395" s="277"/>
      <c r="X395" s="277"/>
      <c r="Y395" s="277"/>
    </row>
    <row r="396" spans="1:25" ht="18.75" customHeight="1">
      <c r="A396" s="392"/>
      <c r="B396" s="393"/>
      <c r="C396" s="393" t="s">
        <v>257</v>
      </c>
      <c r="D396" s="393"/>
      <c r="E396" s="393"/>
      <c r="F396" s="393"/>
      <c r="G396" s="393"/>
      <c r="H396" s="393"/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S396" s="393"/>
      <c r="T396" s="393"/>
      <c r="U396" s="394"/>
      <c r="V396" s="394"/>
      <c r="W396" s="394"/>
      <c r="X396" s="394"/>
      <c r="Y396" s="393"/>
    </row>
    <row r="397" spans="1:25" ht="15.75">
      <c r="A397" s="395"/>
      <c r="B397" s="396"/>
      <c r="C397" s="397" t="s">
        <v>258</v>
      </c>
      <c r="D397" s="397"/>
      <c r="E397" s="398">
        <v>5697300000</v>
      </c>
      <c r="F397" s="398"/>
      <c r="G397" s="398">
        <v>6186800000</v>
      </c>
      <c r="H397" s="398"/>
      <c r="I397" s="398"/>
      <c r="J397" s="398"/>
      <c r="K397" s="398"/>
      <c r="L397" s="398"/>
      <c r="M397" s="398"/>
      <c r="N397" s="398"/>
      <c r="O397" s="398"/>
      <c r="P397" s="398"/>
      <c r="Q397" s="398"/>
      <c r="R397" s="398"/>
      <c r="S397" s="398"/>
      <c r="T397" s="398"/>
      <c r="U397" s="398">
        <v>6186800000</v>
      </c>
      <c r="V397" s="399">
        <f>+U397/E397*100</f>
        <v>108.59178909307919</v>
      </c>
      <c r="W397" s="398"/>
      <c r="X397" s="398"/>
      <c r="Y397" s="398"/>
    </row>
    <row r="398" spans="1:25" ht="6.75" customHeight="1">
      <c r="A398" s="395"/>
      <c r="B398" s="396"/>
      <c r="C398" s="396"/>
      <c r="D398" s="396"/>
      <c r="E398" s="396" t="s">
        <v>0</v>
      </c>
      <c r="F398" s="396"/>
      <c r="G398" s="396"/>
      <c r="H398" s="396"/>
      <c r="I398" s="396"/>
      <c r="J398" s="396"/>
      <c r="K398" s="396"/>
      <c r="L398" s="396"/>
      <c r="M398" s="396"/>
      <c r="N398" s="396"/>
      <c r="O398" s="396"/>
      <c r="P398" s="396"/>
      <c r="Q398" s="396"/>
      <c r="R398" s="396"/>
      <c r="S398" s="396"/>
      <c r="T398" s="396"/>
      <c r="U398" s="400" t="s">
        <v>0</v>
      </c>
      <c r="V398" s="400"/>
      <c r="W398" s="400"/>
      <c r="X398" s="400"/>
      <c r="Y398" s="396"/>
    </row>
    <row r="399" spans="1:25" ht="15.75" thickBot="1">
      <c r="A399" s="401"/>
      <c r="B399" s="402"/>
      <c r="C399" s="402"/>
      <c r="D399" s="402"/>
      <c r="E399" s="403" t="s">
        <v>0</v>
      </c>
      <c r="F399" s="403"/>
      <c r="G399" s="402"/>
      <c r="H399" s="402"/>
      <c r="I399" s="402"/>
      <c r="J399" s="402"/>
      <c r="K399" s="402"/>
      <c r="L399" s="402"/>
      <c r="M399" s="402"/>
      <c r="N399" s="402"/>
      <c r="O399" s="402"/>
      <c r="P399" s="402"/>
      <c r="Q399" s="402"/>
      <c r="R399" s="402"/>
      <c r="S399" s="402"/>
      <c r="T399" s="402"/>
      <c r="U399" s="403" t="s">
        <v>0</v>
      </c>
      <c r="V399" s="404"/>
      <c r="W399" s="404"/>
      <c r="X399" s="404"/>
      <c r="Y399" s="402"/>
    </row>
    <row r="400" spans="1:25" ht="15">
      <c r="A400" s="8"/>
      <c r="B400" s="8"/>
      <c r="C400" s="8"/>
      <c r="D400" s="8"/>
      <c r="E400" s="8" t="s">
        <v>0</v>
      </c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455"/>
    </row>
    <row r="401" spans="1:25" ht="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455"/>
    </row>
    <row r="402" spans="1:25" ht="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455"/>
    </row>
    <row r="403" spans="1:190" ht="18">
      <c r="A403" s="4"/>
      <c r="B403" s="10"/>
      <c r="C403" s="13"/>
      <c r="D403" s="13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456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</row>
    <row r="404" spans="1:190" ht="20.25">
      <c r="A404" s="10"/>
      <c r="B404" s="11"/>
      <c r="C404" s="16"/>
      <c r="D404" s="16"/>
      <c r="E404" s="17"/>
      <c r="F404" s="17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456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</row>
    <row r="405" spans="1:190" ht="20.25">
      <c r="A405" s="12"/>
      <c r="B405" s="11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9"/>
      <c r="V405" s="9"/>
      <c r="W405" s="9"/>
      <c r="X405" s="9"/>
      <c r="Y405" s="456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  <c r="DX405" s="15"/>
      <c r="DY405" s="15"/>
      <c r="DZ405" s="15"/>
      <c r="EA405" s="15"/>
      <c r="EB405" s="15"/>
      <c r="EC405" s="15"/>
      <c r="ED405" s="15"/>
      <c r="EE405" s="15"/>
      <c r="EF405" s="15"/>
      <c r="EG405" s="15"/>
      <c r="EH405" s="15"/>
      <c r="EI405" s="15"/>
      <c r="EJ405" s="15"/>
      <c r="EK405" s="15"/>
      <c r="EL405" s="15"/>
      <c r="EM405" s="15"/>
      <c r="EN405" s="15"/>
      <c r="EO405" s="15"/>
      <c r="EP405" s="15"/>
      <c r="EQ405" s="15"/>
      <c r="ER405" s="15"/>
      <c r="ES405" s="15"/>
      <c r="ET405" s="15"/>
      <c r="EU405" s="15"/>
      <c r="EV405" s="15"/>
      <c r="EW405" s="15"/>
      <c r="EX405" s="15"/>
      <c r="EY405" s="15"/>
      <c r="EZ405" s="15"/>
      <c r="FA405" s="15"/>
      <c r="FB405" s="15"/>
      <c r="FC405" s="15"/>
      <c r="FD405" s="15"/>
      <c r="FE405" s="15"/>
      <c r="FF405" s="15"/>
      <c r="FG405" s="15"/>
      <c r="FH405" s="15"/>
      <c r="FI405" s="15"/>
      <c r="FJ405" s="15"/>
      <c r="FK405" s="15"/>
      <c r="FL405" s="15"/>
      <c r="FM405" s="15"/>
      <c r="FN405" s="15"/>
      <c r="FO405" s="15"/>
      <c r="FP405" s="15"/>
      <c r="FQ405" s="15"/>
      <c r="FR405" s="15"/>
      <c r="FS405" s="15"/>
      <c r="FT405" s="15"/>
      <c r="FU405" s="15"/>
      <c r="FV405" s="15"/>
      <c r="FW405" s="15"/>
      <c r="FX405" s="15"/>
      <c r="FY405" s="15"/>
      <c r="FZ405" s="15"/>
      <c r="GA405" s="15"/>
      <c r="GB405" s="15"/>
      <c r="GC405" s="15"/>
      <c r="GD405" s="15"/>
      <c r="GE405" s="15"/>
      <c r="GF405" s="15"/>
      <c r="GG405" s="15"/>
      <c r="GH405" s="15"/>
    </row>
    <row r="406" spans="1:190" ht="20.25">
      <c r="A406" s="12"/>
      <c r="B406" s="10"/>
      <c r="C406" s="16"/>
      <c r="D406" s="16"/>
      <c r="E406" s="18"/>
      <c r="F406" s="18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9"/>
      <c r="V406" s="9"/>
      <c r="W406" s="9"/>
      <c r="X406" s="9"/>
      <c r="Y406" s="456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  <c r="DX406" s="15"/>
      <c r="DY406" s="15"/>
      <c r="DZ406" s="15"/>
      <c r="EA406" s="15"/>
      <c r="EB406" s="15"/>
      <c r="EC406" s="15"/>
      <c r="ED406" s="15"/>
      <c r="EE406" s="15"/>
      <c r="EF406" s="15"/>
      <c r="EG406" s="15"/>
      <c r="EH406" s="15"/>
      <c r="EI406" s="15"/>
      <c r="EJ406" s="15"/>
      <c r="EK406" s="15"/>
      <c r="EL406" s="15"/>
      <c r="EM406" s="15"/>
      <c r="EN406" s="15"/>
      <c r="EO406" s="15"/>
      <c r="EP406" s="15"/>
      <c r="EQ406" s="15"/>
      <c r="ER406" s="15"/>
      <c r="ES406" s="15"/>
      <c r="ET406" s="15"/>
      <c r="EU406" s="15"/>
      <c r="EV406" s="15"/>
      <c r="EW406" s="15"/>
      <c r="EX406" s="15"/>
      <c r="EY406" s="15"/>
      <c r="EZ406" s="15"/>
      <c r="FA406" s="15"/>
      <c r="FB406" s="15"/>
      <c r="FC406" s="15"/>
      <c r="FD406" s="15"/>
      <c r="FE406" s="15"/>
      <c r="FF406" s="15"/>
      <c r="FG406" s="15"/>
      <c r="FH406" s="15"/>
      <c r="FI406" s="15"/>
      <c r="FJ406" s="15"/>
      <c r="FK406" s="15"/>
      <c r="FL406" s="15"/>
      <c r="FM406" s="15"/>
      <c r="FN406" s="15"/>
      <c r="FO406" s="15"/>
      <c r="FP406" s="15"/>
      <c r="FQ406" s="15"/>
      <c r="FR406" s="15"/>
      <c r="FS406" s="15"/>
      <c r="FT406" s="15"/>
      <c r="FU406" s="15"/>
      <c r="FV406" s="15"/>
      <c r="FW406" s="15"/>
      <c r="FX406" s="15"/>
      <c r="FY406" s="15"/>
      <c r="FZ406" s="15"/>
      <c r="GA406" s="15"/>
      <c r="GB406" s="15"/>
      <c r="GC406" s="15"/>
      <c r="GD406" s="15"/>
      <c r="GE406" s="15"/>
      <c r="GF406" s="15"/>
      <c r="GG406" s="15"/>
      <c r="GH406" s="15"/>
    </row>
    <row r="407" spans="1:190" ht="20.25">
      <c r="A407" s="12"/>
      <c r="B407" s="10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9"/>
      <c r="V407" s="9"/>
      <c r="W407" s="9"/>
      <c r="X407" s="9"/>
      <c r="Y407" s="456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  <c r="DX407" s="15"/>
      <c r="DY407" s="15"/>
      <c r="DZ407" s="15"/>
      <c r="EA407" s="15"/>
      <c r="EB407" s="15"/>
      <c r="EC407" s="15"/>
      <c r="ED407" s="15"/>
      <c r="EE407" s="15"/>
      <c r="EF407" s="15"/>
      <c r="EG407" s="15"/>
      <c r="EH407" s="15"/>
      <c r="EI407" s="15"/>
      <c r="EJ407" s="15"/>
      <c r="EK407" s="15"/>
      <c r="EL407" s="15"/>
      <c r="EM407" s="15"/>
      <c r="EN407" s="15"/>
      <c r="EO407" s="15"/>
      <c r="EP407" s="15"/>
      <c r="EQ407" s="15"/>
      <c r="ER407" s="15"/>
      <c r="ES407" s="15"/>
      <c r="ET407" s="15"/>
      <c r="EU407" s="15"/>
      <c r="EV407" s="15"/>
      <c r="EW407" s="15"/>
      <c r="EX407" s="15"/>
      <c r="EY407" s="15"/>
      <c r="EZ407" s="15"/>
      <c r="FA407" s="15"/>
      <c r="FB407" s="15"/>
      <c r="FC407" s="15"/>
      <c r="FD407" s="15"/>
      <c r="FE407" s="15"/>
      <c r="FF407" s="15"/>
      <c r="FG407" s="15"/>
      <c r="FH407" s="15"/>
      <c r="FI407" s="15"/>
      <c r="FJ407" s="15"/>
      <c r="FK407" s="15"/>
      <c r="FL407" s="15"/>
      <c r="FM407" s="15"/>
      <c r="FN407" s="15"/>
      <c r="FO407" s="15"/>
      <c r="FP407" s="15"/>
      <c r="FQ407" s="15"/>
      <c r="FR407" s="15"/>
      <c r="FS407" s="15"/>
      <c r="FT407" s="15"/>
      <c r="FU407" s="15"/>
      <c r="FV407" s="15"/>
      <c r="FW407" s="15"/>
      <c r="FX407" s="15"/>
      <c r="FY407" s="15"/>
      <c r="FZ407" s="15"/>
      <c r="GA407" s="15"/>
      <c r="GB407" s="15"/>
      <c r="GC407" s="15"/>
      <c r="GD407" s="15"/>
      <c r="GE407" s="15"/>
      <c r="GF407" s="15"/>
      <c r="GG407" s="15"/>
      <c r="GH407" s="15"/>
    </row>
    <row r="408" spans="1:190" ht="20.25">
      <c r="A408" s="12"/>
      <c r="B408" s="10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9"/>
      <c r="V408" s="9"/>
      <c r="W408" s="9"/>
      <c r="X408" s="9"/>
      <c r="Y408" s="456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  <c r="DX408" s="15"/>
      <c r="DY408" s="15"/>
      <c r="DZ408" s="15"/>
      <c r="EA408" s="15"/>
      <c r="EB408" s="15"/>
      <c r="EC408" s="15"/>
      <c r="ED408" s="15"/>
      <c r="EE408" s="15"/>
      <c r="EF408" s="15"/>
      <c r="EG408" s="15"/>
      <c r="EH408" s="15"/>
      <c r="EI408" s="15"/>
      <c r="EJ408" s="15"/>
      <c r="EK408" s="15"/>
      <c r="EL408" s="15"/>
      <c r="EM408" s="15"/>
      <c r="EN408" s="15"/>
      <c r="EO408" s="15"/>
      <c r="EP408" s="15"/>
      <c r="EQ408" s="15"/>
      <c r="ER408" s="15"/>
      <c r="ES408" s="15"/>
      <c r="ET408" s="15"/>
      <c r="EU408" s="15"/>
      <c r="EV408" s="15"/>
      <c r="EW408" s="15"/>
      <c r="EX408" s="15"/>
      <c r="EY408" s="15"/>
      <c r="EZ408" s="15"/>
      <c r="FA408" s="15"/>
      <c r="FB408" s="15"/>
      <c r="FC408" s="15"/>
      <c r="FD408" s="15"/>
      <c r="FE408" s="15"/>
      <c r="FF408" s="15"/>
      <c r="FG408" s="15"/>
      <c r="FH408" s="15"/>
      <c r="FI408" s="15"/>
      <c r="FJ408" s="15"/>
      <c r="FK408" s="15"/>
      <c r="FL408" s="15"/>
      <c r="FM408" s="15"/>
      <c r="FN408" s="15"/>
      <c r="FO408" s="15"/>
      <c r="FP408" s="15"/>
      <c r="FQ408" s="15"/>
      <c r="FR408" s="15"/>
      <c r="FS408" s="15"/>
      <c r="FT408" s="15"/>
      <c r="FU408" s="15"/>
      <c r="FV408" s="15"/>
      <c r="FW408" s="15"/>
      <c r="FX408" s="15"/>
      <c r="FY408" s="15"/>
      <c r="FZ408" s="15"/>
      <c r="GA408" s="15"/>
      <c r="GB408" s="15"/>
      <c r="GC408" s="15"/>
      <c r="GD408" s="15"/>
      <c r="GE408" s="15"/>
      <c r="GF408" s="15"/>
      <c r="GG408" s="15"/>
      <c r="GH408" s="15"/>
    </row>
    <row r="409" spans="1:190" ht="18">
      <c r="A409" s="10"/>
      <c r="B409" s="10"/>
      <c r="C409" s="14"/>
      <c r="D409" s="14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456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  <c r="DX409" s="15"/>
      <c r="DY409" s="15"/>
      <c r="DZ409" s="15"/>
      <c r="EA409" s="15"/>
      <c r="EB409" s="15"/>
      <c r="EC409" s="15"/>
      <c r="ED409" s="15"/>
      <c r="EE409" s="15"/>
      <c r="EF409" s="15"/>
      <c r="EG409" s="15"/>
      <c r="EH409" s="15"/>
      <c r="EI409" s="15"/>
      <c r="EJ409" s="15"/>
      <c r="EK409" s="15"/>
      <c r="EL409" s="15"/>
      <c r="EM409" s="15"/>
      <c r="EN409" s="15"/>
      <c r="EO409" s="15"/>
      <c r="EP409" s="15"/>
      <c r="EQ409" s="15"/>
      <c r="ER409" s="15"/>
      <c r="ES409" s="15"/>
      <c r="ET409" s="15"/>
      <c r="EU409" s="15"/>
      <c r="EV409" s="15"/>
      <c r="EW409" s="15"/>
      <c r="EX409" s="15"/>
      <c r="EY409" s="15"/>
      <c r="EZ409" s="15"/>
      <c r="FA409" s="15"/>
      <c r="FB409" s="15"/>
      <c r="FC409" s="15"/>
      <c r="FD409" s="15"/>
      <c r="FE409" s="15"/>
      <c r="FF409" s="15"/>
      <c r="FG409" s="15"/>
      <c r="FH409" s="15"/>
      <c r="FI409" s="15"/>
      <c r="FJ409" s="15"/>
      <c r="FK409" s="15"/>
      <c r="FL409" s="15"/>
      <c r="FM409" s="15"/>
      <c r="FN409" s="15"/>
      <c r="FO409" s="15"/>
      <c r="FP409" s="15"/>
      <c r="FQ409" s="15"/>
      <c r="FR409" s="15"/>
      <c r="FS409" s="15"/>
      <c r="FT409" s="15"/>
      <c r="FU409" s="15"/>
      <c r="FV409" s="15"/>
      <c r="FW409" s="15"/>
      <c r="FX409" s="15"/>
      <c r="FY409" s="15"/>
      <c r="FZ409" s="15"/>
      <c r="GA409" s="15"/>
      <c r="GB409" s="15"/>
      <c r="GC409" s="15"/>
      <c r="GD409" s="15"/>
      <c r="GE409" s="15"/>
      <c r="GF409" s="15"/>
      <c r="GG409" s="15"/>
      <c r="GH409" s="15"/>
    </row>
    <row r="410" spans="1:190" ht="18">
      <c r="A410" s="10"/>
      <c r="B410" s="10"/>
      <c r="C410" s="14"/>
      <c r="D410" s="14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456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  <c r="DX410" s="15"/>
      <c r="DY410" s="15"/>
      <c r="DZ410" s="15"/>
      <c r="EA410" s="15"/>
      <c r="EB410" s="15"/>
      <c r="EC410" s="15"/>
      <c r="ED410" s="15"/>
      <c r="EE410" s="15"/>
      <c r="EF410" s="15"/>
      <c r="EG410" s="15"/>
      <c r="EH410" s="15"/>
      <c r="EI410" s="15"/>
      <c r="EJ410" s="15"/>
      <c r="EK410" s="15"/>
      <c r="EL410" s="15"/>
      <c r="EM410" s="15"/>
      <c r="EN410" s="15"/>
      <c r="EO410" s="15"/>
      <c r="EP410" s="15"/>
      <c r="EQ410" s="15"/>
      <c r="ER410" s="15"/>
      <c r="ES410" s="15"/>
      <c r="ET410" s="15"/>
      <c r="EU410" s="15"/>
      <c r="EV410" s="15"/>
      <c r="EW410" s="15"/>
      <c r="EX410" s="15"/>
      <c r="EY410" s="15"/>
      <c r="EZ410" s="15"/>
      <c r="FA410" s="15"/>
      <c r="FB410" s="15"/>
      <c r="FC410" s="15"/>
      <c r="FD410" s="15"/>
      <c r="FE410" s="15"/>
      <c r="FF410" s="15"/>
      <c r="FG410" s="15"/>
      <c r="FH410" s="15"/>
      <c r="FI410" s="15"/>
      <c r="FJ410" s="15"/>
      <c r="FK410" s="15"/>
      <c r="FL410" s="15"/>
      <c r="FM410" s="15"/>
      <c r="FN410" s="15"/>
      <c r="FO410" s="15"/>
      <c r="FP410" s="15"/>
      <c r="FQ410" s="15"/>
      <c r="FR410" s="15"/>
      <c r="FS410" s="15"/>
      <c r="FT410" s="15"/>
      <c r="FU410" s="15"/>
      <c r="FV410" s="15"/>
      <c r="FW410" s="15"/>
      <c r="FX410" s="15"/>
      <c r="FY410" s="15"/>
      <c r="FZ410" s="15"/>
      <c r="GA410" s="15"/>
      <c r="GB410" s="15"/>
      <c r="GC410" s="15"/>
      <c r="GD410" s="15"/>
      <c r="GE410" s="15"/>
      <c r="GF410" s="15"/>
      <c r="GG410" s="15"/>
      <c r="GH410" s="15"/>
    </row>
    <row r="411" ht="15">
      <c r="Y411" s="19"/>
    </row>
    <row r="412" ht="15">
      <c r="Y412" s="19"/>
    </row>
    <row r="413" ht="15">
      <c r="Y413" s="19"/>
    </row>
    <row r="414" ht="15">
      <c r="Y414" s="19"/>
    </row>
    <row r="415" ht="15">
      <c r="Y415" s="19"/>
    </row>
    <row r="416" ht="15">
      <c r="Y416" s="19"/>
    </row>
    <row r="417" ht="15">
      <c r="Y417" s="19"/>
    </row>
    <row r="418" ht="15">
      <c r="Y418" s="19"/>
    </row>
    <row r="419" ht="15">
      <c r="Y419" s="19"/>
    </row>
    <row r="420" ht="15">
      <c r="Y420" s="19"/>
    </row>
    <row r="421" ht="15">
      <c r="Y421" s="19"/>
    </row>
    <row r="422" ht="15">
      <c r="Y422" s="19"/>
    </row>
    <row r="423" ht="15">
      <c r="Y423" s="19"/>
    </row>
    <row r="424" ht="15">
      <c r="Y424" s="19"/>
    </row>
    <row r="425" ht="15">
      <c r="Y425" s="19"/>
    </row>
    <row r="426" ht="15">
      <c r="Y426" s="19"/>
    </row>
    <row r="427" ht="15">
      <c r="Y427" s="19"/>
    </row>
  </sheetData>
  <printOptions/>
  <pageMargins left="0.24" right="0.75" top="0.4330708661417323" bottom="0.63" header="0.1968503937007874" footer="0.1968503937007874"/>
  <pageSetup fitToHeight="5" fitToWidth="5" horizontalDpi="600" verticalDpi="600" orientation="portrait" paperSize="9" scale="48" r:id="rId3"/>
  <headerFooter alignWithMargins="0">
    <oddHeader>&amp;C&amp;F</oddHeader>
    <oddFooter>&amp;L&amp;11Pripravila: Barbara Pišek
&amp;R&amp;11&amp;D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ZZZS</cp:lastModifiedBy>
  <cp:lastPrinted>2004-07-14T14:33:46Z</cp:lastPrinted>
  <dcterms:created xsi:type="dcterms:W3CDTF">1999-04-20T15:11:30Z</dcterms:created>
  <dcterms:modified xsi:type="dcterms:W3CDTF">2004-07-14T14:37:52Z</dcterms:modified>
  <cp:category/>
  <cp:version/>
  <cp:contentType/>
  <cp:contentStatus/>
</cp:coreProperties>
</file>