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6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'List1'!$A$1:$AA$95</definedName>
    <definedName name="Z_960D5ECC_C095_4C9C_BE93_A67A56173C64_.wvu.Cols" localSheetId="0" hidden="1">'List1'!$B:$T</definedName>
    <definedName name="Z_960D5ECC_C095_4C9C_BE93_A67A56173C64_.wvu.PrintArea" localSheetId="0" hidden="1">'List1'!$A$1:$AA$95</definedName>
    <definedName name="Z_960D5ECC_C095_4C9C_BE93_A67A56173C64_.wvu.Rows" localSheetId="0" hidden="1">'List1'!$3:$4</definedName>
    <definedName name="Z_974D8464_23AE_4A0C_B9FD_6144AE78BE9F_.wvu.Cols" localSheetId="0" hidden="1">'List1'!$B:$T</definedName>
    <definedName name="Z_974D8464_23AE_4A0C_B9FD_6144AE78BE9F_.wvu.Rows" localSheetId="0" hidden="1">'List1'!$3:$4</definedName>
    <definedName name="Z_EA1DC45A_10BD_4E2B_8440_40574C0A45CE_.wvu.Cols" localSheetId="0" hidden="1">'List1'!$B:$T</definedName>
    <definedName name="Z_EA1DC45A_10BD_4E2B_8440_40574C0A45CE_.wvu.Rows" localSheetId="0" hidden="1">'List1'!$3:$4</definedName>
  </definedNames>
  <calcPr fullCalcOnLoad="1"/>
</workbook>
</file>

<file path=xl/sharedStrings.xml><?xml version="1.0" encoding="utf-8"?>
<sst xmlns="http://schemas.openxmlformats.org/spreadsheetml/2006/main" count="148" uniqueCount="123">
  <si>
    <t>Skupaj</t>
  </si>
  <si>
    <t>OE/IZVAJALEC</t>
  </si>
  <si>
    <t>sanitetnih</t>
  </si>
  <si>
    <t>OE NOVO MESTO</t>
  </si>
  <si>
    <t>ZD ČRNOMELJ</t>
  </si>
  <si>
    <t>ZD METLIKA</t>
  </si>
  <si>
    <t>ZD NOVO MESTO</t>
  </si>
  <si>
    <t>ZD TREBNJE</t>
  </si>
  <si>
    <t>OE KRŠKO</t>
  </si>
  <si>
    <t>ZD SEVNICA</t>
  </si>
  <si>
    <t>ZD KRŠKO</t>
  </si>
  <si>
    <t>ZD BREŽICE</t>
  </si>
  <si>
    <t>OE LJUBLJANA</t>
  </si>
  <si>
    <t>KLINIČNI CENTER+ZD LJ</t>
  </si>
  <si>
    <t>ZD DOMŽALE</t>
  </si>
  <si>
    <t>ZD LITIJA</t>
  </si>
  <si>
    <t>ZD KAMNIK</t>
  </si>
  <si>
    <t>ZD CERKNICA</t>
  </si>
  <si>
    <t>ZD IDRIJA</t>
  </si>
  <si>
    <t>ZD LOGATEC</t>
  </si>
  <si>
    <t>ZD KOČEVJE</t>
  </si>
  <si>
    <t>ZD RIBNICA</t>
  </si>
  <si>
    <t>ZD TRBOVLJE</t>
  </si>
  <si>
    <t>ZD HRASTNIK</t>
  </si>
  <si>
    <t>ZD ZAGORJE</t>
  </si>
  <si>
    <t>REŠEVALEC d.o.o.</t>
  </si>
  <si>
    <t>PACIENT d.o.o.</t>
  </si>
  <si>
    <t>NIS d.o.o.</t>
  </si>
  <si>
    <t>OE KOPER</t>
  </si>
  <si>
    <t>ZD IZOLA</t>
  </si>
  <si>
    <t>ZD ILIRSKA BISTRICA</t>
  </si>
  <si>
    <t>ZD POSTOJNA</t>
  </si>
  <si>
    <t>ZD KOPER</t>
  </si>
  <si>
    <t>ZD SEŽANA</t>
  </si>
  <si>
    <t>OE NOVA GORICA</t>
  </si>
  <si>
    <t>ZD NOVA GORICA</t>
  </si>
  <si>
    <t>ZD AJDOVŠČINA</t>
  </si>
  <si>
    <t>ZD TOLMIN</t>
  </si>
  <si>
    <t>OE CELJE</t>
  </si>
  <si>
    <t>ZD CELJE</t>
  </si>
  <si>
    <t>ZD LAŠKO</t>
  </si>
  <si>
    <t>ZD SLOVENSKE KONJICE</t>
  </si>
  <si>
    <t>ZD ŠMARJE PRI JELŠAH</t>
  </si>
  <si>
    <t>OE MARIBOR</t>
  </si>
  <si>
    <t>ZD MARIBOR</t>
  </si>
  <si>
    <t>ZD LENART</t>
  </si>
  <si>
    <t>ZD SLOV. BISTRICA</t>
  </si>
  <si>
    <t>ZD PTUJ</t>
  </si>
  <si>
    <t>ZD ORMOŽ</t>
  </si>
  <si>
    <t>OE RAVNE NA KOROŠKEM</t>
  </si>
  <si>
    <t>Reševalna služba Koroške</t>
  </si>
  <si>
    <t>ZD VELENJE</t>
  </si>
  <si>
    <t>ZD MOZIRJE</t>
  </si>
  <si>
    <t>OE KRANJ</t>
  </si>
  <si>
    <t>OZG KRANJ</t>
  </si>
  <si>
    <t>TOMAŽ ŠTER</t>
  </si>
  <si>
    <t>OE MURSKA SOBOTA</t>
  </si>
  <si>
    <t>ZD GORNJA RADGONA</t>
  </si>
  <si>
    <t>ZD LENDAVA</t>
  </si>
  <si>
    <t>ZD LJUTOMER</t>
  </si>
  <si>
    <t>ZD MURSKA SOBOTA</t>
  </si>
  <si>
    <t>SKUPAJ</t>
  </si>
  <si>
    <t>STANISLAV NEDELJKO (Ljut.)</t>
  </si>
  <si>
    <t>KA&amp;UP (Ptuj)</t>
  </si>
  <si>
    <t>REŠILEC d.o.o.(MB)</t>
  </si>
  <si>
    <t>BERGHAUS d.o.o.(MB)</t>
  </si>
  <si>
    <t>CROMEX SMOGAVC (Sl.B.)</t>
  </si>
  <si>
    <t>DAVA (MB)</t>
  </si>
  <si>
    <t>SANTRA (MB)</t>
  </si>
  <si>
    <t>REŠILKO d.o.o.(MB)</t>
  </si>
  <si>
    <t>MODMED d.o.o.(Ormož)</t>
  </si>
  <si>
    <t>NRPn</t>
  </si>
  <si>
    <t>Gosenar d.o.o.(Črnomelj)</t>
  </si>
  <si>
    <t>DR. WELL (Ankaran)</t>
  </si>
  <si>
    <t>MEDITRANS (Postojna)</t>
  </si>
  <si>
    <t>Predlog</t>
  </si>
  <si>
    <t>mreže</t>
  </si>
  <si>
    <t>BERGINC ANA (Laško)</t>
  </si>
  <si>
    <t>Timi za NRPn</t>
  </si>
  <si>
    <t>po SD 2009</t>
  </si>
  <si>
    <t>(plan)</t>
  </si>
  <si>
    <t>Km</t>
  </si>
  <si>
    <t>za OI</t>
  </si>
  <si>
    <t>dializni</t>
  </si>
  <si>
    <t>(ocena real.)</t>
  </si>
  <si>
    <t>Razlika</t>
  </si>
  <si>
    <t xml:space="preserve">Plan </t>
  </si>
  <si>
    <t>za NRPn</t>
  </si>
  <si>
    <t>km(T)</t>
  </si>
  <si>
    <t>sanitet.</t>
  </si>
  <si>
    <t>Km(T)</t>
  </si>
  <si>
    <t>Od tega plan</t>
  </si>
  <si>
    <t>za ostale</t>
  </si>
  <si>
    <t>sanitetne</t>
  </si>
  <si>
    <t>plan km(T)</t>
  </si>
  <si>
    <t>po pravilniku</t>
  </si>
  <si>
    <t>Korekcija</t>
  </si>
  <si>
    <t>plana</t>
  </si>
  <si>
    <t>ocena</t>
  </si>
  <si>
    <t>realizacije</t>
  </si>
  <si>
    <t>realizacije km</t>
  </si>
  <si>
    <t>km za OI</t>
  </si>
  <si>
    <t xml:space="preserve">Ocena </t>
  </si>
  <si>
    <t>km(T) 2009</t>
  </si>
  <si>
    <t>pravil/plan09</t>
  </si>
  <si>
    <t>pravilnik/</t>
  </si>
  <si>
    <t>real. 09</t>
  </si>
  <si>
    <t>Priznani</t>
  </si>
  <si>
    <t>km po SD 09</t>
  </si>
  <si>
    <t>(NRPn do plana)</t>
  </si>
  <si>
    <t>v SD 2010</t>
  </si>
  <si>
    <t>Mreža</t>
  </si>
  <si>
    <t>prevozov</t>
  </si>
  <si>
    <t>Plan km(T)</t>
  </si>
  <si>
    <t xml:space="preserve"> prevozi</t>
  </si>
  <si>
    <t>Plan km (T)</t>
  </si>
  <si>
    <t>prevozi</t>
  </si>
  <si>
    <t>ostali san.</t>
  </si>
  <si>
    <t>Priloga II/a-4</t>
  </si>
  <si>
    <t>GULIVER</t>
  </si>
  <si>
    <t>REŠILNA d.o.o.</t>
  </si>
  <si>
    <t>Preindl Franc</t>
  </si>
  <si>
    <t>Plan nenujnih reševalnih prevozov za pogodbeno leto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</si>
</sst>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[$-424]d\.\ mmmm\ yyyy"/>
    <numFmt numFmtId="175" formatCode="0.000"/>
  </numFmts>
  <fonts count="49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color indexed="12"/>
      <name val="Arial CE"/>
      <family val="0"/>
    </font>
    <font>
      <b/>
      <sz val="10"/>
      <color indexed="12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5" fillId="33" borderId="13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ill="1" applyAlignment="1">
      <alignment/>
    </xf>
    <xf numFmtId="3" fontId="2" fillId="34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6" borderId="11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3" fillId="35" borderId="10" xfId="0" applyNumberFormat="1" applyFont="1" applyFill="1" applyBorder="1" applyAlignment="1">
      <alignment horizontal="center"/>
    </xf>
    <xf numFmtId="173" fontId="3" fillId="35" borderId="11" xfId="0" applyNumberFormat="1" applyFont="1" applyFill="1" applyBorder="1" applyAlignment="1">
      <alignment horizontal="center"/>
    </xf>
    <xf numFmtId="173" fontId="4" fillId="35" borderId="12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37" borderId="18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37" borderId="18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2" fontId="4" fillId="35" borderId="1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3" fillId="38" borderId="10" xfId="0" applyNumberFormat="1" applyFont="1" applyFill="1" applyBorder="1" applyAlignment="1">
      <alignment horizontal="center"/>
    </xf>
    <xf numFmtId="3" fontId="3" fillId="38" borderId="11" xfId="0" applyNumberFormat="1" applyFont="1" applyFill="1" applyBorder="1" applyAlignment="1">
      <alignment horizontal="center"/>
    </xf>
    <xf numFmtId="3" fontId="3" fillId="38" borderId="12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8" borderId="11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/>
    </xf>
    <xf numFmtId="2" fontId="3" fillId="39" borderId="11" xfId="0" applyNumberFormat="1" applyFont="1" applyFill="1" applyBorder="1" applyAlignment="1">
      <alignment horizontal="center"/>
    </xf>
    <xf numFmtId="0" fontId="3" fillId="39" borderId="12" xfId="0" applyNumberFormat="1" applyFont="1" applyFill="1" applyBorder="1" applyAlignment="1">
      <alignment horizontal="center"/>
    </xf>
    <xf numFmtId="3" fontId="1" fillId="37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4" fontId="1" fillId="37" borderId="18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10" fillId="37" borderId="18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0" fillId="33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4" fontId="10" fillId="33" borderId="18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3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1" fontId="3" fillId="0" borderId="18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1" fillId="37" borderId="12" xfId="0" applyNumberFormat="1" applyFont="1" applyFill="1" applyBorder="1" applyAlignment="1">
      <alignment horizontal="right"/>
    </xf>
    <xf numFmtId="4" fontId="10" fillId="37" borderId="12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4" fontId="0" fillId="0" borderId="25" xfId="0" applyNumberFormat="1" applyBorder="1" applyAlignment="1" quotePrefix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 quotePrefix="1">
      <alignment/>
    </xf>
    <xf numFmtId="3" fontId="0" fillId="0" borderId="25" xfId="0" applyNumberForma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625" style="0" bestFit="1" customWidth="1"/>
    <col min="2" max="3" width="11.375" style="0" hidden="1" customWidth="1"/>
    <col min="4" max="4" width="11.875" style="0" hidden="1" customWidth="1"/>
    <col min="5" max="5" width="10.125" style="53" hidden="1" customWidth="1"/>
    <col min="6" max="6" width="11.25390625" style="53" hidden="1" customWidth="1"/>
    <col min="7" max="7" width="10.125" style="26" hidden="1" customWidth="1"/>
    <col min="8" max="8" width="10.25390625" style="26" hidden="1" customWidth="1"/>
    <col min="9" max="10" width="12.375" style="25" hidden="1" customWidth="1"/>
    <col min="11" max="11" width="10.125" style="26" hidden="1" customWidth="1"/>
    <col min="12" max="12" width="11.25390625" style="26" hidden="1" customWidth="1"/>
    <col min="13" max="13" width="9.00390625" style="26" hidden="1" customWidth="1"/>
    <col min="14" max="14" width="11.75390625" style="26" hidden="1" customWidth="1"/>
    <col min="15" max="15" width="10.75390625" style="26" hidden="1" customWidth="1"/>
    <col min="16" max="16" width="11.25390625" style="26" hidden="1" customWidth="1"/>
    <col min="17" max="17" width="12.375" style="26" hidden="1" customWidth="1"/>
    <col min="18" max="18" width="10.75390625" style="26" hidden="1" customWidth="1"/>
    <col min="19" max="19" width="10.875" style="26" hidden="1" customWidth="1"/>
    <col min="20" max="20" width="11.875" style="26" hidden="1" customWidth="1"/>
    <col min="21" max="21" width="10.125" style="26" customWidth="1"/>
    <col min="22" max="22" width="14.75390625" style="26" customWidth="1"/>
    <col min="23" max="23" width="10.125" style="26" customWidth="1"/>
    <col min="24" max="24" width="12.75390625" style="26" customWidth="1"/>
    <col min="25" max="25" width="14.75390625" style="26" customWidth="1"/>
    <col min="26" max="26" width="10.125" style="0" bestFit="1" customWidth="1"/>
    <col min="31" max="31" width="9.125" style="25" customWidth="1"/>
  </cols>
  <sheetData>
    <row r="1" spans="1:31" s="1" customFormat="1" ht="18">
      <c r="A1" s="2"/>
      <c r="B1" s="2"/>
      <c r="C1" s="2"/>
      <c r="D1" s="2"/>
      <c r="E1" s="50"/>
      <c r="F1" s="50"/>
      <c r="G1" s="4"/>
      <c r="H1" s="4"/>
      <c r="I1" s="84"/>
      <c r="J1" s="8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214" t="s">
        <v>118</v>
      </c>
      <c r="AE1" s="3"/>
    </row>
    <row r="2" spans="1:31" s="1" customFormat="1" ht="15.75">
      <c r="A2" s="213" t="s">
        <v>122</v>
      </c>
      <c r="B2" s="5"/>
      <c r="C2" s="5"/>
      <c r="D2" s="5"/>
      <c r="E2" s="51"/>
      <c r="F2" s="51"/>
      <c r="G2" s="30"/>
      <c r="H2" s="30"/>
      <c r="I2" s="85"/>
      <c r="J2" s="85"/>
      <c r="K2" s="30">
        <v>1</v>
      </c>
      <c r="L2" s="30">
        <v>2</v>
      </c>
      <c r="M2" s="30"/>
      <c r="N2" s="30"/>
      <c r="O2" s="30">
        <v>4</v>
      </c>
      <c r="P2" s="30"/>
      <c r="Q2" s="30"/>
      <c r="R2" s="30"/>
      <c r="S2" s="30"/>
      <c r="T2" s="30"/>
      <c r="U2" s="30"/>
      <c r="V2" s="30"/>
      <c r="W2" s="30"/>
      <c r="X2" s="30"/>
      <c r="Y2" s="30"/>
      <c r="AE2" s="3"/>
    </row>
    <row r="3" spans="5:31" s="1" customFormat="1" ht="12.75" hidden="1">
      <c r="E3" s="50"/>
      <c r="F3" s="50"/>
      <c r="G3" s="4"/>
      <c r="H3" s="4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E3" s="3"/>
    </row>
    <row r="4" spans="5:31" s="1" customFormat="1" ht="12.75" hidden="1">
      <c r="E4" s="50"/>
      <c r="F4" s="50"/>
      <c r="G4" s="4"/>
      <c r="H4" s="4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E4" s="3"/>
    </row>
    <row r="5" spans="1:25" ht="13.5" thickBot="1">
      <c r="A5" s="1"/>
      <c r="B5" s="1"/>
      <c r="C5" s="96">
        <v>99460</v>
      </c>
      <c r="D5" s="1"/>
      <c r="E5" s="50"/>
      <c r="F5" s="50"/>
      <c r="G5" s="76"/>
      <c r="H5" s="4"/>
      <c r="I5" s="3"/>
      <c r="J5" s="3"/>
      <c r="K5" s="4"/>
      <c r="L5" s="96">
        <v>99460</v>
      </c>
      <c r="M5" s="4"/>
      <c r="N5" s="96">
        <v>99460</v>
      </c>
      <c r="O5" s="96"/>
      <c r="P5" s="96"/>
      <c r="Q5" s="75"/>
      <c r="R5" s="4"/>
      <c r="S5" s="4"/>
      <c r="T5" s="76"/>
      <c r="U5" s="4"/>
      <c r="V5" s="171">
        <v>99460</v>
      </c>
      <c r="W5" s="172"/>
      <c r="X5" s="171"/>
      <c r="Y5" s="171">
        <v>99460</v>
      </c>
    </row>
    <row r="6" spans="1:25" ht="15" customHeight="1">
      <c r="A6" s="6"/>
      <c r="B6" s="38" t="s">
        <v>78</v>
      </c>
      <c r="C6" s="38" t="s">
        <v>86</v>
      </c>
      <c r="D6" s="38" t="s">
        <v>98</v>
      </c>
      <c r="E6" s="47" t="s">
        <v>81</v>
      </c>
      <c r="F6" s="47" t="s">
        <v>98</v>
      </c>
      <c r="G6" s="39" t="s">
        <v>81</v>
      </c>
      <c r="H6" s="39" t="s">
        <v>81</v>
      </c>
      <c r="I6" s="88" t="s">
        <v>107</v>
      </c>
      <c r="J6" s="88" t="s">
        <v>102</v>
      </c>
      <c r="K6" s="41" t="s">
        <v>75</v>
      </c>
      <c r="L6" s="106" t="s">
        <v>86</v>
      </c>
      <c r="M6" s="41" t="s">
        <v>75</v>
      </c>
      <c r="N6" s="106" t="s">
        <v>86</v>
      </c>
      <c r="O6" s="106" t="s">
        <v>91</v>
      </c>
      <c r="P6" s="106" t="s">
        <v>85</v>
      </c>
      <c r="Q6" s="77" t="s">
        <v>0</v>
      </c>
      <c r="R6" s="91" t="s">
        <v>85</v>
      </c>
      <c r="S6" s="91" t="s">
        <v>85</v>
      </c>
      <c r="T6" s="91" t="s">
        <v>96</v>
      </c>
      <c r="U6" s="41"/>
      <c r="V6" s="106" t="s">
        <v>86</v>
      </c>
      <c r="W6" s="41" t="s">
        <v>111</v>
      </c>
      <c r="X6" s="106" t="s">
        <v>115</v>
      </c>
      <c r="Y6" s="106" t="s">
        <v>113</v>
      </c>
    </row>
    <row r="7" spans="1:25" ht="15" customHeight="1">
      <c r="A7" s="7" t="s">
        <v>1</v>
      </c>
      <c r="B7" s="36" t="s">
        <v>79</v>
      </c>
      <c r="C7" s="36" t="s">
        <v>88</v>
      </c>
      <c r="D7" s="36" t="s">
        <v>100</v>
      </c>
      <c r="E7" s="48" t="s">
        <v>82</v>
      </c>
      <c r="F7" s="48" t="s">
        <v>99</v>
      </c>
      <c r="G7" s="37" t="s">
        <v>83</v>
      </c>
      <c r="H7" s="37" t="s">
        <v>83</v>
      </c>
      <c r="I7" s="89" t="s">
        <v>108</v>
      </c>
      <c r="J7" s="89" t="s">
        <v>99</v>
      </c>
      <c r="K7" s="42" t="s">
        <v>76</v>
      </c>
      <c r="L7" s="107" t="s">
        <v>88</v>
      </c>
      <c r="M7" s="42" t="s">
        <v>76</v>
      </c>
      <c r="N7" s="107" t="s">
        <v>88</v>
      </c>
      <c r="O7" s="107" t="s">
        <v>90</v>
      </c>
      <c r="P7" s="107" t="s">
        <v>92</v>
      </c>
      <c r="Q7" s="78" t="s">
        <v>94</v>
      </c>
      <c r="R7" s="92" t="s">
        <v>88</v>
      </c>
      <c r="S7" s="92" t="s">
        <v>105</v>
      </c>
      <c r="T7" s="92" t="s">
        <v>97</v>
      </c>
      <c r="U7" s="42" t="s">
        <v>111</v>
      </c>
      <c r="V7" s="107" t="s">
        <v>88</v>
      </c>
      <c r="W7" s="42" t="s">
        <v>2</v>
      </c>
      <c r="X7" s="107" t="s">
        <v>83</v>
      </c>
      <c r="Y7" s="107" t="s">
        <v>117</v>
      </c>
    </row>
    <row r="8" spans="1:25" ht="15" customHeight="1" thickBot="1">
      <c r="A8" s="8"/>
      <c r="B8" s="40" t="s">
        <v>80</v>
      </c>
      <c r="C8" s="40" t="s">
        <v>71</v>
      </c>
      <c r="D8" s="40">
        <v>2009</v>
      </c>
      <c r="E8" s="49" t="s">
        <v>80</v>
      </c>
      <c r="F8" s="49" t="s">
        <v>101</v>
      </c>
      <c r="G8" s="74" t="s">
        <v>80</v>
      </c>
      <c r="H8" s="74" t="s">
        <v>84</v>
      </c>
      <c r="I8" s="147" t="s">
        <v>109</v>
      </c>
      <c r="J8" s="90" t="s">
        <v>103</v>
      </c>
      <c r="K8" s="43" t="s">
        <v>71</v>
      </c>
      <c r="L8" s="108" t="s">
        <v>87</v>
      </c>
      <c r="M8" s="43" t="s">
        <v>2</v>
      </c>
      <c r="N8" s="108" t="s">
        <v>89</v>
      </c>
      <c r="O8" s="108" t="s">
        <v>83</v>
      </c>
      <c r="P8" s="108" t="s">
        <v>93</v>
      </c>
      <c r="Q8" s="119" t="s">
        <v>95</v>
      </c>
      <c r="R8" s="93" t="s">
        <v>104</v>
      </c>
      <c r="S8" s="93" t="s">
        <v>106</v>
      </c>
      <c r="T8" s="93" t="s">
        <v>110</v>
      </c>
      <c r="U8" s="43" t="s">
        <v>71</v>
      </c>
      <c r="V8" s="108" t="s">
        <v>87</v>
      </c>
      <c r="W8" s="43" t="s">
        <v>112</v>
      </c>
      <c r="X8" s="108" t="s">
        <v>116</v>
      </c>
      <c r="Y8" s="108" t="s">
        <v>114</v>
      </c>
    </row>
    <row r="9" spans="1:31" s="9" customFormat="1" ht="12.75" customHeight="1" thickBot="1">
      <c r="A9" s="173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>
        <v>3</v>
      </c>
      <c r="V9" s="174">
        <v>4</v>
      </c>
      <c r="W9" s="174">
        <v>5</v>
      </c>
      <c r="X9" s="174">
        <v>6</v>
      </c>
      <c r="Y9" s="173">
        <v>7</v>
      </c>
      <c r="AE9" s="215"/>
    </row>
    <row r="10" spans="1:25" ht="12.75">
      <c r="A10" s="10" t="s">
        <v>3</v>
      </c>
      <c r="B10" s="29"/>
      <c r="C10" s="29"/>
      <c r="D10" s="131"/>
      <c r="E10" s="52"/>
      <c r="F10" s="52"/>
      <c r="G10" s="79"/>
      <c r="H10" s="79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3" t="s">
        <v>4</v>
      </c>
      <c r="B11" s="59">
        <v>1.51</v>
      </c>
      <c r="C11" s="126">
        <f>B11*$C$5</f>
        <v>150184.6</v>
      </c>
      <c r="D11" s="126">
        <v>134603</v>
      </c>
      <c r="E11" s="64">
        <v>108224</v>
      </c>
      <c r="F11" s="64">
        <v>60375</v>
      </c>
      <c r="G11" s="70"/>
      <c r="H11" s="70"/>
      <c r="I11" s="97">
        <f>H11+F11+C11</f>
        <v>210559.6</v>
      </c>
      <c r="J11" s="97">
        <f>D11+F11+H11</f>
        <v>194978</v>
      </c>
      <c r="K11" s="27">
        <v>0.68</v>
      </c>
      <c r="L11" s="97">
        <f>K11*$L$5</f>
        <v>67632.8</v>
      </c>
      <c r="M11" s="27">
        <v>1.59</v>
      </c>
      <c r="N11" s="97">
        <f>M11*$N$5</f>
        <v>158141.4</v>
      </c>
      <c r="O11" s="97">
        <f>H11</f>
        <v>0</v>
      </c>
      <c r="P11" s="97">
        <f>N11-O11</f>
        <v>158141.4</v>
      </c>
      <c r="Q11" s="120">
        <f>L11+N11</f>
        <v>225774.2</v>
      </c>
      <c r="R11" s="97">
        <f>Q11-I11</f>
        <v>15214.600000000006</v>
      </c>
      <c r="S11" s="97">
        <f>Q11-J11</f>
        <v>30796.20000000001</v>
      </c>
      <c r="T11" s="97"/>
      <c r="U11" s="27">
        <v>0.68</v>
      </c>
      <c r="V11" s="97">
        <v>67632.8</v>
      </c>
      <c r="W11" s="27">
        <v>1.87</v>
      </c>
      <c r="X11" s="97">
        <v>0</v>
      </c>
      <c r="Y11" s="97">
        <v>185990</v>
      </c>
    </row>
    <row r="12" spans="1:25" ht="12.75">
      <c r="A12" s="13" t="s">
        <v>5</v>
      </c>
      <c r="B12" s="59">
        <v>1.04</v>
      </c>
      <c r="C12" s="126">
        <f>B12*$C$5</f>
        <v>103438.40000000001</v>
      </c>
      <c r="D12" s="126">
        <v>163503</v>
      </c>
      <c r="E12" s="64">
        <v>26325</v>
      </c>
      <c r="F12" s="64">
        <v>32657</v>
      </c>
      <c r="G12" s="70">
        <v>112738</v>
      </c>
      <c r="H12" s="70">
        <v>96034</v>
      </c>
      <c r="I12" s="97">
        <f>H12+F12+C12</f>
        <v>232129.40000000002</v>
      </c>
      <c r="J12" s="97">
        <f>D12+F12+H12</f>
        <v>292194</v>
      </c>
      <c r="K12" s="27">
        <v>0.4</v>
      </c>
      <c r="L12" s="97">
        <f>K12*$L$5</f>
        <v>39784</v>
      </c>
      <c r="M12" s="27">
        <v>1.78</v>
      </c>
      <c r="N12" s="97">
        <f>M12*$N$5</f>
        <v>177038.8</v>
      </c>
      <c r="O12" s="97">
        <f>H12</f>
        <v>96034</v>
      </c>
      <c r="P12" s="97">
        <f>N12-O12</f>
        <v>81004.79999999999</v>
      </c>
      <c r="Q12" s="120">
        <f>L12+N12</f>
        <v>216822.8</v>
      </c>
      <c r="R12" s="97">
        <f>Q12-I12</f>
        <v>-15306.600000000035</v>
      </c>
      <c r="S12" s="97">
        <f>Q12-J12</f>
        <v>-75371.20000000001</v>
      </c>
      <c r="T12" s="97"/>
      <c r="U12" s="27">
        <v>0.4</v>
      </c>
      <c r="V12" s="97">
        <v>39784</v>
      </c>
      <c r="W12" s="27">
        <v>1.91</v>
      </c>
      <c r="X12" s="97">
        <v>96034</v>
      </c>
      <c r="Y12" s="97">
        <v>93935</v>
      </c>
    </row>
    <row r="13" spans="1:25" ht="12.75">
      <c r="A13" s="13" t="s">
        <v>6</v>
      </c>
      <c r="B13" s="59">
        <v>1.74</v>
      </c>
      <c r="C13" s="126">
        <f>B13*$C$5</f>
        <v>173060.4</v>
      </c>
      <c r="D13" s="126">
        <v>414630</v>
      </c>
      <c r="E13" s="64">
        <v>174642</v>
      </c>
      <c r="F13" s="64">
        <v>220184</v>
      </c>
      <c r="G13" s="70">
        <v>222516</v>
      </c>
      <c r="H13" s="70">
        <v>215827</v>
      </c>
      <c r="I13" s="97">
        <f>H13+F13+C13</f>
        <v>609071.4</v>
      </c>
      <c r="J13" s="97">
        <f>D13+F13+H13</f>
        <v>850641</v>
      </c>
      <c r="K13" s="27">
        <v>2.97</v>
      </c>
      <c r="L13" s="97">
        <f>K13*$L$5</f>
        <v>295396.2</v>
      </c>
      <c r="M13" s="27">
        <v>7.58</v>
      </c>
      <c r="N13" s="97">
        <f>M13*$N$5</f>
        <v>753906.8</v>
      </c>
      <c r="O13" s="97">
        <f>H13</f>
        <v>215827</v>
      </c>
      <c r="P13" s="97">
        <f>N13-O13</f>
        <v>538079.8</v>
      </c>
      <c r="Q13" s="120">
        <f>L13+N13</f>
        <v>1049303</v>
      </c>
      <c r="R13" s="97">
        <f>Q13-I13</f>
        <v>440231.6</v>
      </c>
      <c r="S13" s="97">
        <f>Q13-J13</f>
        <v>198662</v>
      </c>
      <c r="T13" s="97"/>
      <c r="U13" s="27">
        <v>2.97</v>
      </c>
      <c r="V13" s="97">
        <v>295396.2</v>
      </c>
      <c r="W13" s="27">
        <v>7.89</v>
      </c>
      <c r="X13" s="97">
        <v>215827</v>
      </c>
      <c r="Y13" s="97">
        <v>568912</v>
      </c>
    </row>
    <row r="14" spans="1:25" ht="12.75">
      <c r="A14" s="13" t="s">
        <v>7</v>
      </c>
      <c r="B14" s="59">
        <v>0.72</v>
      </c>
      <c r="C14" s="126">
        <f>B14*$C$5</f>
        <v>71611.2</v>
      </c>
      <c r="D14" s="126">
        <v>117588</v>
      </c>
      <c r="E14" s="64">
        <v>45864</v>
      </c>
      <c r="F14" s="64">
        <v>36312</v>
      </c>
      <c r="G14" s="70">
        <v>125101</v>
      </c>
      <c r="H14" s="70">
        <v>130995</v>
      </c>
      <c r="I14" s="97">
        <f>H14+F14+C14</f>
        <v>238918.2</v>
      </c>
      <c r="J14" s="97">
        <f>D14+F14+H14</f>
        <v>284895</v>
      </c>
      <c r="K14" s="27">
        <v>0.73</v>
      </c>
      <c r="L14" s="97">
        <f>K14*$L$5</f>
        <v>72605.8</v>
      </c>
      <c r="M14" s="27">
        <v>2.75</v>
      </c>
      <c r="N14" s="97">
        <f>M14*$N$5</f>
        <v>273515</v>
      </c>
      <c r="O14" s="97">
        <f>H14</f>
        <v>130995</v>
      </c>
      <c r="P14" s="97">
        <f>N14-O14</f>
        <v>142520</v>
      </c>
      <c r="Q14" s="120">
        <f>L14+N14</f>
        <v>346120.8</v>
      </c>
      <c r="R14" s="97">
        <f>Q14-I14</f>
        <v>107202.59999999998</v>
      </c>
      <c r="S14" s="97">
        <f>Q14-J14</f>
        <v>61225.79999999999</v>
      </c>
      <c r="T14" s="97"/>
      <c r="U14" s="27">
        <v>0.73</v>
      </c>
      <c r="V14" s="97">
        <v>72605.8</v>
      </c>
      <c r="W14" s="27">
        <v>2.85</v>
      </c>
      <c r="X14" s="97">
        <v>130995</v>
      </c>
      <c r="Y14" s="97">
        <v>152466</v>
      </c>
    </row>
    <row r="15" spans="1:25" ht="13.5" thickBot="1">
      <c r="A15" s="15" t="s">
        <v>72</v>
      </c>
      <c r="B15" s="15"/>
      <c r="C15" s="132"/>
      <c r="D15" s="132"/>
      <c r="E15" s="65"/>
      <c r="F15" s="65"/>
      <c r="G15" s="65">
        <v>325758</v>
      </c>
      <c r="H15" s="65">
        <v>296790</v>
      </c>
      <c r="I15" s="97">
        <f>H15+F15+C15</f>
        <v>296790</v>
      </c>
      <c r="J15" s="97">
        <f>D15+F15+H15</f>
        <v>296790</v>
      </c>
      <c r="K15" s="33"/>
      <c r="L15" s="98"/>
      <c r="M15" s="33">
        <v>2.99</v>
      </c>
      <c r="N15" s="97">
        <f>M15*$N$5</f>
        <v>297385.4</v>
      </c>
      <c r="O15" s="142">
        <f>H15</f>
        <v>296790</v>
      </c>
      <c r="P15" s="142">
        <f>N15-O15</f>
        <v>595.4000000000233</v>
      </c>
      <c r="Q15" s="143">
        <f>L15+N15</f>
        <v>297385.4</v>
      </c>
      <c r="R15" s="142">
        <f>Q15-I15</f>
        <v>595.4000000000233</v>
      </c>
      <c r="S15" s="97">
        <f>Q15-J15</f>
        <v>595.4000000000233</v>
      </c>
      <c r="T15" s="142"/>
      <c r="U15" s="33"/>
      <c r="V15" s="98"/>
      <c r="W15" s="33">
        <v>2.99</v>
      </c>
      <c r="X15" s="142">
        <v>297290</v>
      </c>
      <c r="Y15" s="97"/>
    </row>
    <row r="16" spans="1:31" s="1" customFormat="1" ht="13.5" thickBot="1">
      <c r="A16" s="44"/>
      <c r="B16" s="61">
        <f aca="true" t="shared" si="0" ref="B16:J16">SUM(B11:B15)</f>
        <v>5.01</v>
      </c>
      <c r="C16" s="133">
        <f t="shared" si="0"/>
        <v>498294.60000000003</v>
      </c>
      <c r="D16" s="133">
        <f t="shared" si="0"/>
        <v>830324</v>
      </c>
      <c r="E16" s="66">
        <f t="shared" si="0"/>
        <v>355055</v>
      </c>
      <c r="F16" s="66">
        <f t="shared" si="0"/>
        <v>349528</v>
      </c>
      <c r="G16" s="66">
        <f t="shared" si="0"/>
        <v>786113</v>
      </c>
      <c r="H16" s="66">
        <f t="shared" si="0"/>
        <v>739646</v>
      </c>
      <c r="I16" s="99">
        <f t="shared" si="0"/>
        <v>1587468.5999999999</v>
      </c>
      <c r="J16" s="99">
        <f t="shared" si="0"/>
        <v>1919498</v>
      </c>
      <c r="K16" s="45">
        <f>SUM(K11:K15)</f>
        <v>4.780000000000001</v>
      </c>
      <c r="L16" s="99">
        <f aca="true" t="shared" si="1" ref="L16:R16">SUM(L11:L15)</f>
        <v>475418.8</v>
      </c>
      <c r="M16" s="45">
        <f>SUM(M11:M15)</f>
        <v>16.689999999999998</v>
      </c>
      <c r="N16" s="99">
        <f t="shared" si="1"/>
        <v>1659987.4</v>
      </c>
      <c r="O16" s="109">
        <f t="shared" si="1"/>
        <v>739646</v>
      </c>
      <c r="P16" s="109">
        <f t="shared" si="1"/>
        <v>920341.4</v>
      </c>
      <c r="Q16" s="109">
        <f t="shared" si="1"/>
        <v>2135406.2</v>
      </c>
      <c r="R16" s="124">
        <f t="shared" si="1"/>
        <v>547937.6</v>
      </c>
      <c r="S16" s="125">
        <f>SUM(S11:S15)</f>
        <v>215908.2</v>
      </c>
      <c r="T16" s="125"/>
      <c r="U16" s="157">
        <f>SUM(U11:U15)</f>
        <v>4.780000000000001</v>
      </c>
      <c r="V16" s="99">
        <f>SUM(V11:V15)</f>
        <v>475418.8</v>
      </c>
      <c r="W16" s="45">
        <f>SUM(W11:W15)</f>
        <v>17.509999999999998</v>
      </c>
      <c r="X16" s="99">
        <f>SUM(X11:X15)</f>
        <v>740146</v>
      </c>
      <c r="Y16" s="99">
        <f>SUM(Y11:Y15)</f>
        <v>1001303</v>
      </c>
      <c r="AC16"/>
      <c r="AD16"/>
      <c r="AE16" s="3"/>
    </row>
    <row r="17" spans="1:25" ht="12.75">
      <c r="A17" s="10" t="s">
        <v>8</v>
      </c>
      <c r="B17" s="10"/>
      <c r="C17" s="134"/>
      <c r="D17" s="134"/>
      <c r="E17" s="67"/>
      <c r="F17" s="67"/>
      <c r="G17" s="67"/>
      <c r="H17" s="67"/>
      <c r="I17" s="100"/>
      <c r="J17" s="100"/>
      <c r="K17" s="34"/>
      <c r="L17" s="100"/>
      <c r="M17" s="34"/>
      <c r="N17" s="110"/>
      <c r="O17" s="110"/>
      <c r="P17" s="110"/>
      <c r="Q17" s="121"/>
      <c r="R17" s="100"/>
      <c r="S17" s="100"/>
      <c r="T17" s="100"/>
      <c r="U17" s="100"/>
      <c r="V17" s="100"/>
      <c r="W17" s="34"/>
      <c r="X17" s="110"/>
      <c r="Y17" s="110"/>
    </row>
    <row r="18" spans="1:25" ht="12.75">
      <c r="A18" s="13" t="s">
        <v>9</v>
      </c>
      <c r="B18" s="59">
        <v>2.01</v>
      </c>
      <c r="C18" s="126">
        <f>B18*$C$5</f>
        <v>199914.59999999998</v>
      </c>
      <c r="D18" s="126">
        <v>260853</v>
      </c>
      <c r="E18" s="64">
        <v>45121</v>
      </c>
      <c r="F18" s="64">
        <v>52437</v>
      </c>
      <c r="G18" s="70">
        <v>166456</v>
      </c>
      <c r="H18" s="70">
        <v>197599</v>
      </c>
      <c r="I18" s="97">
        <f>H18+F18+C18</f>
        <v>449950.6</v>
      </c>
      <c r="J18" s="97">
        <f>D18+F18+H18</f>
        <v>510889</v>
      </c>
      <c r="K18" s="27">
        <v>0.73</v>
      </c>
      <c r="L18" s="97">
        <f>K18*$L$5</f>
        <v>72605.8</v>
      </c>
      <c r="M18" s="27">
        <v>2.8</v>
      </c>
      <c r="N18" s="97">
        <f>M18*$N$5</f>
        <v>278488</v>
      </c>
      <c r="O18" s="97">
        <f>H18</f>
        <v>197599</v>
      </c>
      <c r="P18" s="97">
        <f>N18-O18</f>
        <v>80889</v>
      </c>
      <c r="Q18" s="120">
        <f>L18+N18</f>
        <v>351093.8</v>
      </c>
      <c r="R18" s="97">
        <f>Q18-I18</f>
        <v>-98856.79999999999</v>
      </c>
      <c r="S18" s="97">
        <f>Q18-J18</f>
        <v>-159795.2</v>
      </c>
      <c r="T18" s="97"/>
      <c r="U18" s="158">
        <v>0.73</v>
      </c>
      <c r="V18" s="97">
        <v>72605.8</v>
      </c>
      <c r="W18" s="27">
        <v>2.88</v>
      </c>
      <c r="X18" s="97">
        <v>197599</v>
      </c>
      <c r="Y18" s="97">
        <v>88846</v>
      </c>
    </row>
    <row r="19" spans="1:25" ht="12.75">
      <c r="A19" s="13" t="s">
        <v>10</v>
      </c>
      <c r="B19" s="59">
        <v>1.45</v>
      </c>
      <c r="C19" s="126">
        <f>B19*$C$5</f>
        <v>144217</v>
      </c>
      <c r="D19" s="126">
        <v>278720</v>
      </c>
      <c r="E19" s="64">
        <v>96170</v>
      </c>
      <c r="F19" s="64">
        <v>133038</v>
      </c>
      <c r="G19" s="69">
        <v>117060</v>
      </c>
      <c r="H19" s="69">
        <v>139621</v>
      </c>
      <c r="I19" s="97">
        <f>H19+F19+C19</f>
        <v>416876</v>
      </c>
      <c r="J19" s="97">
        <f>D19+F19+H19</f>
        <v>551379</v>
      </c>
      <c r="K19" s="27">
        <v>1.11</v>
      </c>
      <c r="L19" s="97">
        <f>K19*$L$5</f>
        <v>110400.6</v>
      </c>
      <c r="M19" s="27">
        <v>3.41</v>
      </c>
      <c r="N19" s="97">
        <f>M19*$N$5</f>
        <v>339158.60000000003</v>
      </c>
      <c r="O19" s="97">
        <f>H19</f>
        <v>139621</v>
      </c>
      <c r="P19" s="97">
        <f>N19-O19</f>
        <v>199537.60000000003</v>
      </c>
      <c r="Q19" s="120">
        <f>L19+N19</f>
        <v>449559.20000000007</v>
      </c>
      <c r="R19" s="97">
        <f>Q19-I19</f>
        <v>32683.20000000007</v>
      </c>
      <c r="S19" s="97">
        <f>Q19-J19</f>
        <v>-101819.79999999993</v>
      </c>
      <c r="T19" s="97"/>
      <c r="U19" s="158">
        <v>1.11</v>
      </c>
      <c r="V19" s="97">
        <v>110400.6</v>
      </c>
      <c r="W19" s="27">
        <v>3.83</v>
      </c>
      <c r="X19" s="97">
        <v>139621</v>
      </c>
      <c r="Y19" s="97">
        <v>241311</v>
      </c>
    </row>
    <row r="20" spans="1:25" ht="13.5" thickBot="1">
      <c r="A20" s="14" t="s">
        <v>11</v>
      </c>
      <c r="B20" s="59">
        <v>0.87</v>
      </c>
      <c r="C20" s="126">
        <f>B20*$C$5</f>
        <v>86530.2</v>
      </c>
      <c r="D20" s="126">
        <v>182744</v>
      </c>
      <c r="E20" s="64">
        <v>191858</v>
      </c>
      <c r="F20" s="95">
        <v>199374</v>
      </c>
      <c r="G20" s="80">
        <v>230232</v>
      </c>
      <c r="H20" s="80">
        <v>230878</v>
      </c>
      <c r="I20" s="97">
        <f>H20+F20+C20</f>
        <v>516782.2</v>
      </c>
      <c r="J20" s="97">
        <f>D20+F20+H20</f>
        <v>612996</v>
      </c>
      <c r="K20" s="148">
        <v>1.13</v>
      </c>
      <c r="L20" s="97">
        <f>K20*$L$5</f>
        <v>112389.79999999999</v>
      </c>
      <c r="M20" s="148">
        <v>4.95</v>
      </c>
      <c r="N20" s="97">
        <f>M20*$N$5</f>
        <v>492327</v>
      </c>
      <c r="O20" s="97">
        <f>H20</f>
        <v>230878</v>
      </c>
      <c r="P20" s="97">
        <f>N20-O20</f>
        <v>261449</v>
      </c>
      <c r="Q20" s="120">
        <f>L20+N20</f>
        <v>604716.8</v>
      </c>
      <c r="R20" s="97">
        <f>Q20-I20</f>
        <v>87934.60000000003</v>
      </c>
      <c r="S20" s="97">
        <f>Q20-J20</f>
        <v>-8279.199999999953</v>
      </c>
      <c r="T20" s="97"/>
      <c r="U20" s="159">
        <v>1.13</v>
      </c>
      <c r="V20" s="97">
        <v>112389.8</v>
      </c>
      <c r="W20" s="148">
        <v>5.3</v>
      </c>
      <c r="X20" s="97">
        <v>230878</v>
      </c>
      <c r="Y20" s="97">
        <v>296260</v>
      </c>
    </row>
    <row r="21" spans="1:31" s="1" customFormat="1" ht="13.5" thickBot="1">
      <c r="A21" s="44"/>
      <c r="B21" s="61">
        <f aca="true" t="shared" si="2" ref="B21:J21">SUM(B18:B20)</f>
        <v>4.33</v>
      </c>
      <c r="C21" s="133">
        <f t="shared" si="2"/>
        <v>430661.8</v>
      </c>
      <c r="D21" s="133">
        <f t="shared" si="2"/>
        <v>722317</v>
      </c>
      <c r="E21" s="66">
        <f t="shared" si="2"/>
        <v>333149</v>
      </c>
      <c r="F21" s="66">
        <f t="shared" si="2"/>
        <v>384849</v>
      </c>
      <c r="G21" s="66">
        <f t="shared" si="2"/>
        <v>513748</v>
      </c>
      <c r="H21" s="66">
        <f t="shared" si="2"/>
        <v>568098</v>
      </c>
      <c r="I21" s="99">
        <f t="shared" si="2"/>
        <v>1383608.8</v>
      </c>
      <c r="J21" s="99">
        <f t="shared" si="2"/>
        <v>1675264</v>
      </c>
      <c r="K21" s="45">
        <f>SUM(K18:K20)</f>
        <v>2.9699999999999998</v>
      </c>
      <c r="L21" s="99">
        <f aca="true" t="shared" si="3" ref="L21:R21">SUM(L18:L20)</f>
        <v>295396.2</v>
      </c>
      <c r="M21" s="45">
        <f>SUM(M18:M20)</f>
        <v>11.16</v>
      </c>
      <c r="N21" s="99">
        <f t="shared" si="3"/>
        <v>1109973.6</v>
      </c>
      <c r="O21" s="99">
        <f t="shared" si="3"/>
        <v>568098</v>
      </c>
      <c r="P21" s="99">
        <f t="shared" si="3"/>
        <v>541875.6000000001</v>
      </c>
      <c r="Q21" s="99">
        <f t="shared" si="3"/>
        <v>1405369.8</v>
      </c>
      <c r="R21" s="99">
        <f t="shared" si="3"/>
        <v>21761.000000000116</v>
      </c>
      <c r="S21" s="99">
        <f>SUM(S18:S20)</f>
        <v>-269894.1999999999</v>
      </c>
      <c r="T21" s="99"/>
      <c r="U21" s="160">
        <f>SUM(U18:U20)</f>
        <v>2.9699999999999998</v>
      </c>
      <c r="V21" s="99">
        <f>SUM(V18:V20)</f>
        <v>295396.2</v>
      </c>
      <c r="W21" s="45">
        <f>SUM(W18:W20)</f>
        <v>12.01</v>
      </c>
      <c r="X21" s="99">
        <f>SUM(X18:X20)</f>
        <v>568098</v>
      </c>
      <c r="Y21" s="99">
        <f>SUM(Y18:Y20)</f>
        <v>626417</v>
      </c>
      <c r="AC21"/>
      <c r="AD21"/>
      <c r="AE21" s="3"/>
    </row>
    <row r="22" spans="1:25" ht="12.75">
      <c r="A22" s="10" t="s">
        <v>12</v>
      </c>
      <c r="B22" s="10"/>
      <c r="C22" s="134"/>
      <c r="D22" s="134"/>
      <c r="E22" s="67"/>
      <c r="F22" s="67"/>
      <c r="G22" s="67"/>
      <c r="H22" s="67"/>
      <c r="I22" s="11"/>
      <c r="J22" s="11"/>
      <c r="K22" s="34"/>
      <c r="L22" s="11"/>
      <c r="M22" s="12"/>
      <c r="N22" s="11"/>
      <c r="O22" s="11"/>
      <c r="P22" s="11"/>
      <c r="Q22" s="122"/>
      <c r="R22" s="11"/>
      <c r="S22" s="100"/>
      <c r="T22" s="100"/>
      <c r="U22" s="161"/>
      <c r="V22" s="11"/>
      <c r="W22" s="12"/>
      <c r="X22" s="11"/>
      <c r="Y22" s="11"/>
    </row>
    <row r="23" spans="1:31" s="17" customFormat="1" ht="12.75">
      <c r="A23" s="118" t="s">
        <v>13</v>
      </c>
      <c r="B23" s="116">
        <v>3.84</v>
      </c>
      <c r="C23" s="126">
        <f>B23*$C$5</f>
        <v>381926.39999999997</v>
      </c>
      <c r="D23" s="135">
        <v>288027</v>
      </c>
      <c r="E23" s="115"/>
      <c r="F23" s="115"/>
      <c r="G23" s="115"/>
      <c r="H23" s="117"/>
      <c r="I23" s="97">
        <f>H23+F23+C23</f>
        <v>381926.39999999997</v>
      </c>
      <c r="J23" s="97">
        <f aca="true" t="shared" si="4" ref="J23:J37">D23+F23+H23</f>
        <v>288027</v>
      </c>
      <c r="K23" s="149">
        <v>2.89</v>
      </c>
      <c r="L23" s="114">
        <f>K23*$L$5</f>
        <v>287439.4</v>
      </c>
      <c r="M23" s="156">
        <v>0</v>
      </c>
      <c r="N23" s="114">
        <f>M23*$N$5</f>
        <v>0</v>
      </c>
      <c r="O23" s="114">
        <f>H23</f>
        <v>0</v>
      </c>
      <c r="P23" s="97">
        <f>N23-O23</f>
        <v>0</v>
      </c>
      <c r="Q23" s="120">
        <f>L23+N23</f>
        <v>287439.4</v>
      </c>
      <c r="R23" s="97">
        <f>Q23-I23</f>
        <v>-94486.99999999994</v>
      </c>
      <c r="S23" s="97">
        <f>Q23-J23</f>
        <v>-587.5999999999767</v>
      </c>
      <c r="T23" s="111"/>
      <c r="U23" s="162">
        <v>2.89</v>
      </c>
      <c r="V23" s="114">
        <v>287439.4</v>
      </c>
      <c r="W23" s="156">
        <v>0</v>
      </c>
      <c r="X23" s="114">
        <v>0</v>
      </c>
      <c r="Y23" s="114">
        <v>0</v>
      </c>
      <c r="AC23"/>
      <c r="AD23"/>
      <c r="AE23" s="216"/>
    </row>
    <row r="24" spans="1:31" s="19" customFormat="1" ht="12.75">
      <c r="A24" s="18" t="s">
        <v>14</v>
      </c>
      <c r="B24" s="86">
        <v>1.35</v>
      </c>
      <c r="C24" s="126">
        <f aca="true" t="shared" si="5" ref="C24:C36">B24*$C$5</f>
        <v>134271</v>
      </c>
      <c r="D24" s="128">
        <v>154814</v>
      </c>
      <c r="E24" s="87">
        <v>22035</v>
      </c>
      <c r="F24" s="87">
        <v>36318</v>
      </c>
      <c r="G24" s="63">
        <v>309205</v>
      </c>
      <c r="H24" s="63">
        <v>287233</v>
      </c>
      <c r="I24" s="97">
        <f aca="true" t="shared" si="6" ref="I24:I37">H24+F24+C24</f>
        <v>457822</v>
      </c>
      <c r="J24" s="97">
        <f t="shared" si="4"/>
        <v>478365</v>
      </c>
      <c r="K24" s="149">
        <v>1.99</v>
      </c>
      <c r="L24" s="111">
        <f aca="true" t="shared" si="7" ref="L24:L36">K24*$L$5</f>
        <v>197925.4</v>
      </c>
      <c r="M24" s="149">
        <v>6.46</v>
      </c>
      <c r="N24" s="111">
        <f aca="true" t="shared" si="8" ref="N24:N37">M24*$N$5</f>
        <v>642511.6</v>
      </c>
      <c r="O24" s="111">
        <f aca="true" t="shared" si="9" ref="O24:O37">H24</f>
        <v>287233</v>
      </c>
      <c r="P24" s="97">
        <f aca="true" t="shared" si="10" ref="P24:P37">N24-O24</f>
        <v>355278.6</v>
      </c>
      <c r="Q24" s="120">
        <f aca="true" t="shared" si="11" ref="Q24:Q37">L24+N24</f>
        <v>840437</v>
      </c>
      <c r="R24" s="97">
        <f aca="true" t="shared" si="12" ref="R24:R37">Q24-I24</f>
        <v>382615</v>
      </c>
      <c r="S24" s="97">
        <f aca="true" t="shared" si="13" ref="S24:S37">Q24-J24</f>
        <v>362072</v>
      </c>
      <c r="T24" s="97"/>
      <c r="U24" s="162">
        <v>1.99</v>
      </c>
      <c r="V24" s="111">
        <v>197925.4</v>
      </c>
      <c r="W24" s="192">
        <f>2.89+1.16</f>
        <v>4.05</v>
      </c>
      <c r="X24" s="193">
        <v>287233</v>
      </c>
      <c r="Y24" s="193">
        <v>115580</v>
      </c>
      <c r="AC24"/>
      <c r="AD24"/>
      <c r="AE24" s="217"/>
    </row>
    <row r="25" spans="1:31" s="19" customFormat="1" ht="12.75">
      <c r="A25" s="16" t="s">
        <v>15</v>
      </c>
      <c r="B25" s="59">
        <v>2.36</v>
      </c>
      <c r="C25" s="126">
        <f t="shared" si="5"/>
        <v>234725.59999999998</v>
      </c>
      <c r="D25" s="126">
        <v>251307</v>
      </c>
      <c r="E25" s="64">
        <v>27466</v>
      </c>
      <c r="F25" s="64">
        <v>31037</v>
      </c>
      <c r="G25" s="70">
        <v>194536</v>
      </c>
      <c r="H25" s="70">
        <v>141981</v>
      </c>
      <c r="I25" s="97">
        <f t="shared" si="6"/>
        <v>407743.6</v>
      </c>
      <c r="J25" s="97">
        <f t="shared" si="4"/>
        <v>424325</v>
      </c>
      <c r="K25" s="129">
        <v>0.78</v>
      </c>
      <c r="L25" s="97">
        <f t="shared" si="7"/>
        <v>77578.8</v>
      </c>
      <c r="M25" s="129">
        <v>3.38</v>
      </c>
      <c r="N25" s="97">
        <f t="shared" si="8"/>
        <v>336174.8</v>
      </c>
      <c r="O25" s="97">
        <f t="shared" si="9"/>
        <v>141981</v>
      </c>
      <c r="P25" s="97">
        <f t="shared" si="10"/>
        <v>194193.8</v>
      </c>
      <c r="Q25" s="120">
        <f t="shared" si="11"/>
        <v>413753.6</v>
      </c>
      <c r="R25" s="97">
        <f t="shared" si="12"/>
        <v>6010</v>
      </c>
      <c r="S25" s="97">
        <f t="shared" si="13"/>
        <v>-10571.400000000023</v>
      </c>
      <c r="T25" s="97"/>
      <c r="U25" s="163">
        <v>0.78</v>
      </c>
      <c r="V25" s="97">
        <v>77578.8</v>
      </c>
      <c r="W25" s="194">
        <v>2.88</v>
      </c>
      <c r="X25" s="195">
        <v>141981</v>
      </c>
      <c r="Y25" s="195">
        <v>144464</v>
      </c>
      <c r="AC25"/>
      <c r="AD25"/>
      <c r="AE25" s="217"/>
    </row>
    <row r="26" spans="1:31" s="19" customFormat="1" ht="12.75">
      <c r="A26" s="16" t="s">
        <v>16</v>
      </c>
      <c r="B26" s="59">
        <v>1.24</v>
      </c>
      <c r="C26" s="126">
        <f t="shared" si="5"/>
        <v>123330.4</v>
      </c>
      <c r="D26" s="126">
        <v>193104</v>
      </c>
      <c r="E26" s="64">
        <v>36095</v>
      </c>
      <c r="F26" s="64">
        <v>55601</v>
      </c>
      <c r="G26" s="81">
        <v>304526</v>
      </c>
      <c r="H26" s="81">
        <v>297214</v>
      </c>
      <c r="I26" s="97">
        <f t="shared" si="6"/>
        <v>476145.4</v>
      </c>
      <c r="J26" s="97">
        <f t="shared" si="4"/>
        <v>545919</v>
      </c>
      <c r="K26" s="129">
        <v>1.24</v>
      </c>
      <c r="L26" s="97">
        <f t="shared" si="7"/>
        <v>123330.4</v>
      </c>
      <c r="M26" s="129">
        <v>5.36</v>
      </c>
      <c r="N26" s="97">
        <f t="shared" si="8"/>
        <v>533105.6</v>
      </c>
      <c r="O26" s="97">
        <f t="shared" si="9"/>
        <v>297214</v>
      </c>
      <c r="P26" s="97">
        <f t="shared" si="10"/>
        <v>235891.59999999998</v>
      </c>
      <c r="Q26" s="120">
        <f t="shared" si="11"/>
        <v>656436</v>
      </c>
      <c r="R26" s="97">
        <f t="shared" si="12"/>
        <v>180290.59999999998</v>
      </c>
      <c r="S26" s="97">
        <f t="shared" si="13"/>
        <v>110517</v>
      </c>
      <c r="T26" s="97"/>
      <c r="U26" s="163">
        <v>1.24</v>
      </c>
      <c r="V26" s="97">
        <v>123330.4</v>
      </c>
      <c r="W26" s="194">
        <v>4.86</v>
      </c>
      <c r="X26" s="195">
        <v>297214</v>
      </c>
      <c r="Y26" s="195">
        <v>186162</v>
      </c>
      <c r="AC26"/>
      <c r="AD26"/>
      <c r="AE26" s="217"/>
    </row>
    <row r="27" spans="1:25" ht="12.75">
      <c r="A27" s="16" t="s">
        <v>17</v>
      </c>
      <c r="B27" s="59">
        <v>1.76</v>
      </c>
      <c r="C27" s="126">
        <f t="shared" si="5"/>
        <v>175049.6</v>
      </c>
      <c r="D27" s="126">
        <v>226073</v>
      </c>
      <c r="E27" s="64">
        <v>29639</v>
      </c>
      <c r="F27" s="64">
        <v>19541</v>
      </c>
      <c r="G27" s="70">
        <v>252938</v>
      </c>
      <c r="H27" s="70">
        <v>255558</v>
      </c>
      <c r="I27" s="97">
        <f t="shared" si="6"/>
        <v>450148.6</v>
      </c>
      <c r="J27" s="97">
        <f t="shared" si="4"/>
        <v>501172</v>
      </c>
      <c r="K27" s="129">
        <v>0.87</v>
      </c>
      <c r="L27" s="97">
        <f t="shared" si="7"/>
        <v>86530.2</v>
      </c>
      <c r="M27" s="129">
        <v>3.83</v>
      </c>
      <c r="N27" s="97">
        <f t="shared" si="8"/>
        <v>380931.8</v>
      </c>
      <c r="O27" s="97">
        <f t="shared" si="9"/>
        <v>255558</v>
      </c>
      <c r="P27" s="97">
        <f t="shared" si="10"/>
        <v>125373.79999999999</v>
      </c>
      <c r="Q27" s="120">
        <f t="shared" si="11"/>
        <v>467462</v>
      </c>
      <c r="R27" s="97">
        <f t="shared" si="12"/>
        <v>17313.400000000023</v>
      </c>
      <c r="S27" s="97">
        <f t="shared" si="13"/>
        <v>-33710</v>
      </c>
      <c r="T27" s="97"/>
      <c r="U27" s="163">
        <v>0.87</v>
      </c>
      <c r="V27" s="97">
        <v>86530.2</v>
      </c>
      <c r="W27" s="194">
        <v>3.91</v>
      </c>
      <c r="X27" s="195">
        <v>255558</v>
      </c>
      <c r="Y27" s="195">
        <v>133331</v>
      </c>
    </row>
    <row r="28" spans="1:25" ht="12.75">
      <c r="A28" s="16" t="s">
        <v>18</v>
      </c>
      <c r="B28" s="59">
        <v>1.7</v>
      </c>
      <c r="C28" s="126">
        <f t="shared" si="5"/>
        <v>169082</v>
      </c>
      <c r="D28" s="126">
        <v>327768</v>
      </c>
      <c r="E28" s="64">
        <v>19822</v>
      </c>
      <c r="F28" s="64">
        <v>35184</v>
      </c>
      <c r="G28" s="81">
        <v>201826</v>
      </c>
      <c r="H28" s="81">
        <v>164694</v>
      </c>
      <c r="I28" s="97">
        <f t="shared" si="6"/>
        <v>368960</v>
      </c>
      <c r="J28" s="97">
        <f t="shared" si="4"/>
        <v>527646</v>
      </c>
      <c r="K28" s="129">
        <v>0.76</v>
      </c>
      <c r="L28" s="97">
        <f t="shared" si="7"/>
        <v>75589.6</v>
      </c>
      <c r="M28" s="129">
        <v>3.56</v>
      </c>
      <c r="N28" s="97">
        <f t="shared" si="8"/>
        <v>354077.6</v>
      </c>
      <c r="O28" s="97">
        <f t="shared" si="9"/>
        <v>164694</v>
      </c>
      <c r="P28" s="97">
        <f t="shared" si="10"/>
        <v>189383.59999999998</v>
      </c>
      <c r="Q28" s="120">
        <f t="shared" si="11"/>
        <v>429667.19999999995</v>
      </c>
      <c r="R28" s="97">
        <f t="shared" si="12"/>
        <v>60707.19999999995</v>
      </c>
      <c r="S28" s="97">
        <f t="shared" si="13"/>
        <v>-97978.80000000005</v>
      </c>
      <c r="T28" s="97"/>
      <c r="U28" s="163">
        <v>0.76</v>
      </c>
      <c r="V28" s="97">
        <v>75589.6</v>
      </c>
      <c r="W28" s="194">
        <v>3.31</v>
      </c>
      <c r="X28" s="195">
        <v>164694</v>
      </c>
      <c r="Y28" s="195">
        <v>164519</v>
      </c>
    </row>
    <row r="29" spans="1:25" ht="12.75">
      <c r="A29" s="16" t="s">
        <v>19</v>
      </c>
      <c r="B29" s="59">
        <v>0.57</v>
      </c>
      <c r="C29" s="126">
        <f t="shared" si="5"/>
        <v>56692.2</v>
      </c>
      <c r="D29" s="126">
        <v>182717</v>
      </c>
      <c r="E29" s="64">
        <v>40836</v>
      </c>
      <c r="F29" s="64">
        <v>19038</v>
      </c>
      <c r="G29" s="70">
        <v>88904</v>
      </c>
      <c r="H29" s="70">
        <v>74706</v>
      </c>
      <c r="I29" s="97">
        <f t="shared" si="6"/>
        <v>150436.2</v>
      </c>
      <c r="J29" s="97">
        <f t="shared" si="4"/>
        <v>276461</v>
      </c>
      <c r="K29" s="129">
        <v>0.49</v>
      </c>
      <c r="L29" s="97">
        <f t="shared" si="7"/>
        <v>48735.4</v>
      </c>
      <c r="M29" s="129">
        <v>1.9</v>
      </c>
      <c r="N29" s="97">
        <f t="shared" si="8"/>
        <v>188974</v>
      </c>
      <c r="O29" s="97">
        <f t="shared" si="9"/>
        <v>74706</v>
      </c>
      <c r="P29" s="97">
        <f t="shared" si="10"/>
        <v>114268</v>
      </c>
      <c r="Q29" s="120">
        <f t="shared" si="11"/>
        <v>237709.4</v>
      </c>
      <c r="R29" s="97">
        <f t="shared" si="12"/>
        <v>87273.19999999998</v>
      </c>
      <c r="S29" s="97">
        <f t="shared" si="13"/>
        <v>-38751.600000000006</v>
      </c>
      <c r="T29" s="97"/>
      <c r="U29" s="163">
        <v>0.49</v>
      </c>
      <c r="V29" s="97">
        <v>48735.4</v>
      </c>
      <c r="W29" s="194">
        <v>1.96</v>
      </c>
      <c r="X29" s="195">
        <v>74706</v>
      </c>
      <c r="Y29" s="195">
        <v>120236</v>
      </c>
    </row>
    <row r="30" spans="1:25" ht="12.75">
      <c r="A30" s="16" t="s">
        <v>20</v>
      </c>
      <c r="B30" s="59">
        <v>2.11</v>
      </c>
      <c r="C30" s="126">
        <f t="shared" si="5"/>
        <v>209860.59999999998</v>
      </c>
      <c r="D30" s="126">
        <v>248708</v>
      </c>
      <c r="E30" s="64">
        <v>71465</v>
      </c>
      <c r="F30" s="64">
        <v>41307</v>
      </c>
      <c r="G30" s="81">
        <v>338494</v>
      </c>
      <c r="H30" s="81">
        <v>336546</v>
      </c>
      <c r="I30" s="97">
        <f t="shared" si="6"/>
        <v>587713.6</v>
      </c>
      <c r="J30" s="97">
        <f t="shared" si="4"/>
        <v>626561</v>
      </c>
      <c r="K30" s="129">
        <v>0.72</v>
      </c>
      <c r="L30" s="97">
        <f t="shared" si="7"/>
        <v>71611.2</v>
      </c>
      <c r="M30" s="129">
        <v>4.31</v>
      </c>
      <c r="N30" s="97">
        <f t="shared" si="8"/>
        <v>428672.6</v>
      </c>
      <c r="O30" s="97">
        <f t="shared" si="9"/>
        <v>336546</v>
      </c>
      <c r="P30" s="97">
        <f t="shared" si="10"/>
        <v>92126.59999999998</v>
      </c>
      <c r="Q30" s="120">
        <f t="shared" si="11"/>
        <v>500283.8</v>
      </c>
      <c r="R30" s="97">
        <f t="shared" si="12"/>
        <v>-87429.79999999999</v>
      </c>
      <c r="S30" s="97">
        <f t="shared" si="13"/>
        <v>-126277.20000000001</v>
      </c>
      <c r="T30" s="97"/>
      <c r="U30" s="163">
        <v>0.72</v>
      </c>
      <c r="V30" s="97">
        <v>71611.2</v>
      </c>
      <c r="W30" s="194">
        <f>3.38+2.12</f>
        <v>5.5</v>
      </c>
      <c r="X30" s="195">
        <v>336546</v>
      </c>
      <c r="Y30" s="195">
        <v>210484</v>
      </c>
    </row>
    <row r="31" spans="1:25" ht="12.75">
      <c r="A31" s="13" t="s">
        <v>21</v>
      </c>
      <c r="B31" s="59">
        <v>1.5</v>
      </c>
      <c r="C31" s="126">
        <f t="shared" si="5"/>
        <v>149190</v>
      </c>
      <c r="D31" s="126">
        <v>188265</v>
      </c>
      <c r="E31" s="64">
        <v>20574</v>
      </c>
      <c r="F31" s="64">
        <v>15885</v>
      </c>
      <c r="G31" s="70">
        <v>310666</v>
      </c>
      <c r="H31" s="70">
        <v>307989</v>
      </c>
      <c r="I31" s="97">
        <f t="shared" si="6"/>
        <v>473064</v>
      </c>
      <c r="J31" s="97">
        <f t="shared" si="4"/>
        <v>512139</v>
      </c>
      <c r="K31" s="27">
        <v>0.56</v>
      </c>
      <c r="L31" s="97">
        <f t="shared" si="7"/>
        <v>55697.600000000006</v>
      </c>
      <c r="M31" s="27">
        <v>3.7</v>
      </c>
      <c r="N31" s="97">
        <f t="shared" si="8"/>
        <v>368002</v>
      </c>
      <c r="O31" s="97">
        <f t="shared" si="9"/>
        <v>307989</v>
      </c>
      <c r="P31" s="97">
        <f t="shared" si="10"/>
        <v>60013</v>
      </c>
      <c r="Q31" s="120">
        <f t="shared" si="11"/>
        <v>423699.6</v>
      </c>
      <c r="R31" s="97">
        <f t="shared" si="12"/>
        <v>-49364.40000000002</v>
      </c>
      <c r="S31" s="97">
        <f t="shared" si="13"/>
        <v>-88439.40000000002</v>
      </c>
      <c r="T31" s="97"/>
      <c r="U31" s="158">
        <v>0.56</v>
      </c>
      <c r="V31" s="97">
        <v>55697.6</v>
      </c>
      <c r="W31" s="196">
        <f>3.1+1.17</f>
        <v>4.27</v>
      </c>
      <c r="X31" s="195">
        <v>307989</v>
      </c>
      <c r="Y31" s="195">
        <v>116705</v>
      </c>
    </row>
    <row r="32" spans="1:25" ht="12.75">
      <c r="A32" s="13" t="s">
        <v>22</v>
      </c>
      <c r="B32" s="59">
        <v>2.32</v>
      </c>
      <c r="C32" s="126">
        <f t="shared" si="5"/>
        <v>230747.19999999998</v>
      </c>
      <c r="D32" s="126">
        <v>300737</v>
      </c>
      <c r="E32" s="64">
        <v>25230</v>
      </c>
      <c r="F32" s="64">
        <v>38184</v>
      </c>
      <c r="G32" s="69">
        <v>50755</v>
      </c>
      <c r="H32" s="69">
        <v>44457</v>
      </c>
      <c r="I32" s="97">
        <f t="shared" si="6"/>
        <v>313388.19999999995</v>
      </c>
      <c r="J32" s="97">
        <f t="shared" si="4"/>
        <v>383378</v>
      </c>
      <c r="K32" s="27">
        <v>1.05</v>
      </c>
      <c r="L32" s="97">
        <f t="shared" si="7"/>
        <v>104433</v>
      </c>
      <c r="M32" s="27">
        <v>2.09</v>
      </c>
      <c r="N32" s="97">
        <f t="shared" si="8"/>
        <v>207871.4</v>
      </c>
      <c r="O32" s="97">
        <f t="shared" si="9"/>
        <v>44457</v>
      </c>
      <c r="P32" s="97">
        <f t="shared" si="10"/>
        <v>163414.4</v>
      </c>
      <c r="Q32" s="120">
        <f t="shared" si="11"/>
        <v>312304.4</v>
      </c>
      <c r="R32" s="97">
        <f t="shared" si="12"/>
        <v>-1083.7999999999302</v>
      </c>
      <c r="S32" s="97">
        <f t="shared" si="13"/>
        <v>-71073.59999999998</v>
      </c>
      <c r="T32" s="97"/>
      <c r="U32" s="158">
        <v>1.05</v>
      </c>
      <c r="V32" s="97">
        <v>104433</v>
      </c>
      <c r="W32" s="196">
        <v>2.01</v>
      </c>
      <c r="X32" s="195">
        <v>44457</v>
      </c>
      <c r="Y32" s="195">
        <v>155458</v>
      </c>
    </row>
    <row r="33" spans="1:25" ht="12.75">
      <c r="A33" s="13" t="s">
        <v>23</v>
      </c>
      <c r="B33" s="59">
        <v>2.04</v>
      </c>
      <c r="C33" s="126">
        <f t="shared" si="5"/>
        <v>202898.4</v>
      </c>
      <c r="D33" s="126">
        <v>185231</v>
      </c>
      <c r="E33" s="64">
        <v>43244</v>
      </c>
      <c r="F33" s="64">
        <v>26784</v>
      </c>
      <c r="G33" s="69">
        <v>75584</v>
      </c>
      <c r="H33" s="69">
        <v>71592</v>
      </c>
      <c r="I33" s="97">
        <f t="shared" si="6"/>
        <v>301274.4</v>
      </c>
      <c r="J33" s="97">
        <f t="shared" si="4"/>
        <v>283607</v>
      </c>
      <c r="K33" s="27">
        <v>0.51</v>
      </c>
      <c r="L33" s="97">
        <f t="shared" si="7"/>
        <v>50724.6</v>
      </c>
      <c r="M33" s="27">
        <v>1.52</v>
      </c>
      <c r="N33" s="97">
        <f t="shared" si="8"/>
        <v>151179.2</v>
      </c>
      <c r="O33" s="97">
        <f t="shared" si="9"/>
        <v>71592</v>
      </c>
      <c r="P33" s="97">
        <f t="shared" si="10"/>
        <v>79587.20000000001</v>
      </c>
      <c r="Q33" s="120">
        <f t="shared" si="11"/>
        <v>201903.80000000002</v>
      </c>
      <c r="R33" s="97">
        <f t="shared" si="12"/>
        <v>-99370.6</v>
      </c>
      <c r="S33" s="97">
        <f t="shared" si="13"/>
        <v>-81703.19999999998</v>
      </c>
      <c r="T33" s="97"/>
      <c r="U33" s="158">
        <v>0.51</v>
      </c>
      <c r="V33" s="97">
        <v>50724.6</v>
      </c>
      <c r="W33" s="196">
        <v>1.67</v>
      </c>
      <c r="X33" s="195">
        <v>71592</v>
      </c>
      <c r="Y33" s="195">
        <v>94506</v>
      </c>
    </row>
    <row r="34" spans="1:25" ht="12.75">
      <c r="A34" s="13" t="s">
        <v>24</v>
      </c>
      <c r="B34" s="59">
        <v>1.95</v>
      </c>
      <c r="C34" s="126">
        <f t="shared" si="5"/>
        <v>193947</v>
      </c>
      <c r="D34" s="126">
        <v>212100</v>
      </c>
      <c r="E34" s="64">
        <v>25854</v>
      </c>
      <c r="F34" s="64">
        <v>17741</v>
      </c>
      <c r="G34" s="70">
        <v>156129</v>
      </c>
      <c r="H34" s="70">
        <v>140137</v>
      </c>
      <c r="I34" s="97">
        <f t="shared" si="6"/>
        <v>351825</v>
      </c>
      <c r="J34" s="97">
        <f t="shared" si="4"/>
        <v>369978</v>
      </c>
      <c r="K34" s="27">
        <v>0.72</v>
      </c>
      <c r="L34" s="97">
        <f t="shared" si="7"/>
        <v>71611.2</v>
      </c>
      <c r="M34" s="27">
        <v>2.74</v>
      </c>
      <c r="N34" s="97">
        <f t="shared" si="8"/>
        <v>272520.4</v>
      </c>
      <c r="O34" s="97">
        <f t="shared" si="9"/>
        <v>140137</v>
      </c>
      <c r="P34" s="97">
        <f t="shared" si="10"/>
        <v>132383.40000000002</v>
      </c>
      <c r="Q34" s="120">
        <f t="shared" si="11"/>
        <v>344131.60000000003</v>
      </c>
      <c r="R34" s="97">
        <f t="shared" si="12"/>
        <v>-7693.399999999965</v>
      </c>
      <c r="S34" s="97">
        <f t="shared" si="13"/>
        <v>-25846.399999999965</v>
      </c>
      <c r="T34" s="97"/>
      <c r="U34" s="158">
        <v>0.72</v>
      </c>
      <c r="V34" s="97">
        <v>71611.2</v>
      </c>
      <c r="W34" s="196">
        <v>2.99</v>
      </c>
      <c r="X34" s="195">
        <v>140137</v>
      </c>
      <c r="Y34" s="195">
        <v>157248</v>
      </c>
    </row>
    <row r="35" spans="1:25" ht="12.75">
      <c r="A35" s="13" t="s">
        <v>25</v>
      </c>
      <c r="B35" s="59">
        <v>21.94</v>
      </c>
      <c r="C35" s="126">
        <f t="shared" si="5"/>
        <v>2182152.4</v>
      </c>
      <c r="D35" s="126">
        <v>2453183</v>
      </c>
      <c r="E35" s="64">
        <v>3373</v>
      </c>
      <c r="F35" s="64">
        <v>212</v>
      </c>
      <c r="G35" s="69">
        <v>670502</v>
      </c>
      <c r="H35" s="69">
        <v>567213</v>
      </c>
      <c r="I35" s="97">
        <f t="shared" si="6"/>
        <v>2749577.4</v>
      </c>
      <c r="J35" s="97">
        <f t="shared" si="4"/>
        <v>3020608</v>
      </c>
      <c r="K35" s="27">
        <v>10.7</v>
      </c>
      <c r="L35" s="97">
        <f t="shared" si="7"/>
        <v>1064222</v>
      </c>
      <c r="M35" s="27">
        <v>26.47</v>
      </c>
      <c r="N35" s="97">
        <f t="shared" si="8"/>
        <v>2632706.1999999997</v>
      </c>
      <c r="O35" s="97">
        <f t="shared" si="9"/>
        <v>567213</v>
      </c>
      <c r="P35" s="97">
        <f t="shared" si="10"/>
        <v>2065493.1999999997</v>
      </c>
      <c r="Q35" s="120">
        <f t="shared" si="11"/>
        <v>3696928.1999999997</v>
      </c>
      <c r="R35" s="97">
        <f t="shared" si="12"/>
        <v>947350.7999999998</v>
      </c>
      <c r="S35" s="97">
        <f t="shared" si="13"/>
        <v>676320.1999999997</v>
      </c>
      <c r="T35" s="97"/>
      <c r="U35" s="158">
        <v>10.7</v>
      </c>
      <c r="V35" s="97">
        <v>1064222</v>
      </c>
      <c r="W35" s="196">
        <v>23.88</v>
      </c>
      <c r="X35" s="195">
        <v>601716</v>
      </c>
      <c r="Y35" s="195">
        <v>1773081</v>
      </c>
    </row>
    <row r="36" spans="1:25" ht="12.75">
      <c r="A36" s="20" t="s">
        <v>26</v>
      </c>
      <c r="B36" s="59">
        <v>21.98</v>
      </c>
      <c r="C36" s="126">
        <f t="shared" si="5"/>
        <v>2186130.8</v>
      </c>
      <c r="D36" s="126">
        <v>3890460</v>
      </c>
      <c r="E36" s="64">
        <v>1783</v>
      </c>
      <c r="F36" s="138">
        <v>5091</v>
      </c>
      <c r="G36" s="82">
        <v>673521</v>
      </c>
      <c r="H36" s="82">
        <v>620187</v>
      </c>
      <c r="I36" s="97">
        <f t="shared" si="6"/>
        <v>2811408.8</v>
      </c>
      <c r="J36" s="97">
        <f t="shared" si="4"/>
        <v>4515738</v>
      </c>
      <c r="K36" s="150">
        <v>10.7</v>
      </c>
      <c r="L36" s="97">
        <f t="shared" si="7"/>
        <v>1064222</v>
      </c>
      <c r="M36" s="150">
        <v>26.47</v>
      </c>
      <c r="N36" s="97">
        <f t="shared" si="8"/>
        <v>2632706.1999999997</v>
      </c>
      <c r="O36" s="97">
        <f t="shared" si="9"/>
        <v>620187</v>
      </c>
      <c r="P36" s="97">
        <f t="shared" si="10"/>
        <v>2012519.1999999997</v>
      </c>
      <c r="Q36" s="120">
        <f t="shared" si="11"/>
        <v>3696928.1999999997</v>
      </c>
      <c r="R36" s="97">
        <f t="shared" si="12"/>
        <v>885519.3999999999</v>
      </c>
      <c r="S36" s="97">
        <f t="shared" si="13"/>
        <v>-818809.8000000003</v>
      </c>
      <c r="T36" s="97"/>
      <c r="U36" s="164">
        <v>10.7</v>
      </c>
      <c r="V36" s="97">
        <v>1064222</v>
      </c>
      <c r="W36" s="197">
        <v>23.88</v>
      </c>
      <c r="X36" s="195">
        <v>654691</v>
      </c>
      <c r="Y36" s="195">
        <v>1720107</v>
      </c>
    </row>
    <row r="37" spans="1:25" ht="12.75">
      <c r="A37" s="13" t="s">
        <v>27</v>
      </c>
      <c r="B37" s="13"/>
      <c r="C37" s="136"/>
      <c r="D37" s="136"/>
      <c r="E37" s="69"/>
      <c r="F37" s="69"/>
      <c r="G37" s="69">
        <v>262954</v>
      </c>
      <c r="H37" s="69">
        <v>187240</v>
      </c>
      <c r="I37" s="97">
        <f t="shared" si="6"/>
        <v>187240</v>
      </c>
      <c r="J37" s="97">
        <f t="shared" si="4"/>
        <v>187240</v>
      </c>
      <c r="K37" s="27"/>
      <c r="L37" s="212"/>
      <c r="M37" s="27">
        <v>1.9</v>
      </c>
      <c r="N37" s="97">
        <f t="shared" si="8"/>
        <v>188974</v>
      </c>
      <c r="O37" s="97">
        <f t="shared" si="9"/>
        <v>187240</v>
      </c>
      <c r="P37" s="97">
        <f t="shared" si="10"/>
        <v>1734</v>
      </c>
      <c r="Q37" s="120">
        <f t="shared" si="11"/>
        <v>188974</v>
      </c>
      <c r="R37" s="97">
        <f t="shared" si="12"/>
        <v>1734</v>
      </c>
      <c r="S37" s="97">
        <f t="shared" si="13"/>
        <v>1734</v>
      </c>
      <c r="T37" s="97"/>
      <c r="U37" s="158"/>
      <c r="V37" s="212"/>
      <c r="W37" s="196">
        <v>1.19</v>
      </c>
      <c r="X37" s="195">
        <v>118233</v>
      </c>
      <c r="Y37" s="195"/>
    </row>
    <row r="38" spans="1:25" ht="13.5" thickBot="1">
      <c r="A38" s="15"/>
      <c r="B38" s="15"/>
      <c r="C38" s="132"/>
      <c r="D38" s="132"/>
      <c r="E38" s="68"/>
      <c r="F38" s="68"/>
      <c r="G38" s="68"/>
      <c r="H38" s="68"/>
      <c r="I38" s="98"/>
      <c r="J38" s="98"/>
      <c r="K38" s="33"/>
      <c r="L38" s="103"/>
      <c r="M38" s="33"/>
      <c r="N38" s="98"/>
      <c r="O38" s="98"/>
      <c r="P38" s="98"/>
      <c r="Q38" s="175"/>
      <c r="R38" s="98"/>
      <c r="S38" s="98"/>
      <c r="T38" s="98"/>
      <c r="U38" s="165"/>
      <c r="V38" s="103"/>
      <c r="W38" s="198"/>
      <c r="X38" s="199"/>
      <c r="Y38" s="199"/>
    </row>
    <row r="39" spans="1:31" s="1" customFormat="1" ht="13.5" thickBot="1">
      <c r="A39" s="44"/>
      <c r="B39" s="61">
        <f aca="true" t="shared" si="14" ref="B39:J39">SUM(B23:B37)</f>
        <v>66.66</v>
      </c>
      <c r="C39" s="133">
        <f t="shared" si="14"/>
        <v>6630003.599999999</v>
      </c>
      <c r="D39" s="133">
        <f t="shared" si="14"/>
        <v>9102494</v>
      </c>
      <c r="E39" s="66">
        <f t="shared" si="14"/>
        <v>367416</v>
      </c>
      <c r="F39" s="66">
        <f t="shared" si="14"/>
        <v>341923</v>
      </c>
      <c r="G39" s="66">
        <f t="shared" si="14"/>
        <v>3890540</v>
      </c>
      <c r="H39" s="66">
        <f t="shared" si="14"/>
        <v>3496747</v>
      </c>
      <c r="I39" s="99">
        <f t="shared" si="14"/>
        <v>10468673.600000001</v>
      </c>
      <c r="J39" s="99">
        <f t="shared" si="14"/>
        <v>12941164</v>
      </c>
      <c r="K39" s="45">
        <f>SUM(K23:K37)</f>
        <v>33.980000000000004</v>
      </c>
      <c r="L39" s="99">
        <f aca="true" t="shared" si="15" ref="L39:R39">SUM(L23:L37)</f>
        <v>3379650.8</v>
      </c>
      <c r="M39" s="45">
        <f>SUM(M23:M37)</f>
        <v>93.69000000000001</v>
      </c>
      <c r="N39" s="99">
        <f t="shared" si="15"/>
        <v>9318407.399999999</v>
      </c>
      <c r="O39" s="99">
        <f t="shared" si="15"/>
        <v>3496747</v>
      </c>
      <c r="P39" s="99">
        <f t="shared" si="15"/>
        <v>5821660.399999999</v>
      </c>
      <c r="Q39" s="99">
        <f t="shared" si="15"/>
        <v>12698058.2</v>
      </c>
      <c r="R39" s="99">
        <f t="shared" si="15"/>
        <v>2229384.5999999996</v>
      </c>
      <c r="S39" s="99">
        <f>SUM(S23:S37)</f>
        <v>-243105.8000000005</v>
      </c>
      <c r="T39" s="99"/>
      <c r="U39" s="160">
        <f>SUM(U23:U38)</f>
        <v>33.980000000000004</v>
      </c>
      <c r="V39" s="99">
        <f>SUM(V23:V38)</f>
        <v>3379650.8</v>
      </c>
      <c r="W39" s="45">
        <f>SUM(W23:W38)</f>
        <v>86.36</v>
      </c>
      <c r="X39" s="99">
        <f>SUM(X23:X38)</f>
        <v>3496747</v>
      </c>
      <c r="Y39" s="99">
        <f>SUM(Y23:Y38)</f>
        <v>5091881</v>
      </c>
      <c r="AC39"/>
      <c r="AD39"/>
      <c r="AE39" s="3"/>
    </row>
    <row r="40" spans="1:31" s="19" customFormat="1" ht="12.75">
      <c r="A40" s="10" t="s">
        <v>28</v>
      </c>
      <c r="B40" s="10"/>
      <c r="C40" s="134"/>
      <c r="D40" s="134"/>
      <c r="E40" s="67"/>
      <c r="F40" s="67"/>
      <c r="G40" s="67"/>
      <c r="H40" s="67"/>
      <c r="I40" s="100"/>
      <c r="J40" s="100"/>
      <c r="K40" s="151"/>
      <c r="L40" s="100"/>
      <c r="M40" s="34"/>
      <c r="N40" s="100"/>
      <c r="O40" s="100"/>
      <c r="P40" s="100"/>
      <c r="Q40" s="121"/>
      <c r="R40" s="100"/>
      <c r="S40" s="104"/>
      <c r="T40" s="104"/>
      <c r="U40" s="166"/>
      <c r="V40" s="100"/>
      <c r="W40" s="34"/>
      <c r="X40" s="100"/>
      <c r="Y40" s="100"/>
      <c r="AC40"/>
      <c r="AD40"/>
      <c r="AE40" s="217"/>
    </row>
    <row r="41" spans="1:31" s="19" customFormat="1" ht="12.75">
      <c r="A41" s="21" t="s">
        <v>29</v>
      </c>
      <c r="B41" s="86">
        <v>5.86</v>
      </c>
      <c r="C41" s="126">
        <f>B41*$C$5</f>
        <v>582835.6</v>
      </c>
      <c r="D41" s="128">
        <v>848186</v>
      </c>
      <c r="E41" s="87">
        <v>385348</v>
      </c>
      <c r="F41" s="87">
        <v>477500</v>
      </c>
      <c r="G41" s="83"/>
      <c r="H41" s="83"/>
      <c r="I41" s="97">
        <f>H41+F41+C41</f>
        <v>1060335.6</v>
      </c>
      <c r="J41" s="111">
        <f aca="true" t="shared" si="16" ref="J41:J47">D41+F41+H41</f>
        <v>1325686</v>
      </c>
      <c r="K41" s="152">
        <v>3.59</v>
      </c>
      <c r="L41" s="111">
        <f>K41*$L$5</f>
        <v>357061.39999999997</v>
      </c>
      <c r="M41" s="152">
        <v>9.85</v>
      </c>
      <c r="N41" s="111">
        <f>M41*$N$5</f>
        <v>979681</v>
      </c>
      <c r="O41" s="111">
        <f aca="true" t="shared" si="17" ref="O41:O47">H41</f>
        <v>0</v>
      </c>
      <c r="P41" s="97">
        <f>N41-O41</f>
        <v>979681</v>
      </c>
      <c r="Q41" s="120">
        <f>L41+N41</f>
        <v>1336742.4</v>
      </c>
      <c r="R41" s="97">
        <f aca="true" t="shared" si="18" ref="R41:R47">Q41-I41</f>
        <v>276406.7999999998</v>
      </c>
      <c r="S41" s="97">
        <f>Q41-J41</f>
        <v>11056.399999999907</v>
      </c>
      <c r="T41" s="97"/>
      <c r="U41" s="167">
        <v>3.59</v>
      </c>
      <c r="V41" s="111">
        <v>357061.4</v>
      </c>
      <c r="W41" s="200">
        <v>10.28</v>
      </c>
      <c r="X41" s="193">
        <v>0</v>
      </c>
      <c r="Y41" s="193">
        <v>1022029</v>
      </c>
      <c r="AC41"/>
      <c r="AD41"/>
      <c r="AE41" s="217"/>
    </row>
    <row r="42" spans="1:25" ht="12.75">
      <c r="A42" s="13" t="s">
        <v>30</v>
      </c>
      <c r="B42" s="59">
        <v>1.93</v>
      </c>
      <c r="C42" s="126">
        <f>B42*$C$5</f>
        <v>191957.8</v>
      </c>
      <c r="D42" s="126">
        <v>161606</v>
      </c>
      <c r="E42" s="64">
        <v>106354</v>
      </c>
      <c r="F42" s="64">
        <v>73280</v>
      </c>
      <c r="G42" s="69">
        <v>229290</v>
      </c>
      <c r="H42" s="69">
        <v>246265</v>
      </c>
      <c r="I42" s="97">
        <f aca="true" t="shared" si="19" ref="I42:I47">H42+F42+C42</f>
        <v>511502.8</v>
      </c>
      <c r="J42" s="97">
        <f t="shared" si="16"/>
        <v>481151</v>
      </c>
      <c r="K42" s="27">
        <v>0.72</v>
      </c>
      <c r="L42" s="97">
        <f>K42*$L$5</f>
        <v>71611.2</v>
      </c>
      <c r="M42" s="27">
        <v>3.65</v>
      </c>
      <c r="N42" s="97">
        <f aca="true" t="shared" si="20" ref="N42:N47">M42*$N$5</f>
        <v>363029</v>
      </c>
      <c r="O42" s="97">
        <f t="shared" si="17"/>
        <v>246265</v>
      </c>
      <c r="P42" s="97">
        <f aca="true" t="shared" si="21" ref="P42:P47">N42-O42</f>
        <v>116764</v>
      </c>
      <c r="Q42" s="120">
        <f aca="true" t="shared" si="22" ref="Q42:Q47">L42+N42</f>
        <v>434640.2</v>
      </c>
      <c r="R42" s="97">
        <f t="shared" si="18"/>
        <v>-76862.59999999998</v>
      </c>
      <c r="S42" s="97">
        <f aca="true" t="shared" si="23" ref="S42:S47">Q42-J42</f>
        <v>-46510.79999999999</v>
      </c>
      <c r="T42" s="97"/>
      <c r="U42" s="158">
        <v>0.72</v>
      </c>
      <c r="V42" s="97">
        <v>71611.2</v>
      </c>
      <c r="W42" s="196">
        <v>3.58</v>
      </c>
      <c r="X42" s="195">
        <v>246265</v>
      </c>
      <c r="Y42" s="195">
        <v>109802</v>
      </c>
    </row>
    <row r="43" spans="1:25" ht="12.75">
      <c r="A43" s="13" t="s">
        <v>31</v>
      </c>
      <c r="B43" s="13"/>
      <c r="C43" s="126"/>
      <c r="D43" s="136"/>
      <c r="E43" s="69"/>
      <c r="F43" s="69"/>
      <c r="G43" s="69"/>
      <c r="H43" s="69"/>
      <c r="I43" s="97"/>
      <c r="J43" s="97"/>
      <c r="K43" s="27"/>
      <c r="L43" s="97"/>
      <c r="M43" s="27"/>
      <c r="N43" s="97"/>
      <c r="O43" s="97"/>
      <c r="P43" s="97"/>
      <c r="Q43" s="120"/>
      <c r="R43" s="97"/>
      <c r="S43" s="97"/>
      <c r="T43" s="97"/>
      <c r="U43" s="158">
        <v>0.1</v>
      </c>
      <c r="V43" s="97">
        <v>9946</v>
      </c>
      <c r="W43" s="196"/>
      <c r="X43" s="195"/>
      <c r="Y43" s="195"/>
    </row>
    <row r="44" spans="1:25" ht="12.75">
      <c r="A44" s="13" t="s">
        <v>32</v>
      </c>
      <c r="B44" s="13"/>
      <c r="C44" s="126"/>
      <c r="D44" s="136"/>
      <c r="E44" s="69"/>
      <c r="F44" s="69"/>
      <c r="G44" s="69"/>
      <c r="H44" s="69"/>
      <c r="I44" s="97"/>
      <c r="J44" s="97"/>
      <c r="K44" s="27"/>
      <c r="L44" s="97"/>
      <c r="M44" s="27"/>
      <c r="N44" s="97"/>
      <c r="O44" s="97"/>
      <c r="P44" s="97"/>
      <c r="Q44" s="120"/>
      <c r="R44" s="97"/>
      <c r="S44" s="97"/>
      <c r="T44" s="97"/>
      <c r="U44" s="158"/>
      <c r="V44" s="97"/>
      <c r="W44" s="196"/>
      <c r="X44" s="195"/>
      <c r="Y44" s="195"/>
    </row>
    <row r="45" spans="1:25" ht="12.75">
      <c r="A45" s="13" t="s">
        <v>33</v>
      </c>
      <c r="B45" s="59">
        <v>2.23</v>
      </c>
      <c r="C45" s="126">
        <f>B45*$C$5</f>
        <v>221795.8</v>
      </c>
      <c r="D45" s="126">
        <v>347700</v>
      </c>
      <c r="E45" s="64">
        <v>88001</v>
      </c>
      <c r="F45" s="64">
        <v>68088</v>
      </c>
      <c r="G45" s="81">
        <v>81096</v>
      </c>
      <c r="H45" s="81">
        <v>93849</v>
      </c>
      <c r="I45" s="97">
        <f t="shared" si="19"/>
        <v>383732.8</v>
      </c>
      <c r="J45" s="97">
        <f t="shared" si="16"/>
        <v>509637</v>
      </c>
      <c r="K45" s="27">
        <v>1.25</v>
      </c>
      <c r="L45" s="97">
        <f>K45*$L$5</f>
        <v>124325</v>
      </c>
      <c r="M45" s="27">
        <v>3.12</v>
      </c>
      <c r="N45" s="97">
        <f t="shared" si="20"/>
        <v>310315.2</v>
      </c>
      <c r="O45" s="97">
        <f t="shared" si="17"/>
        <v>93849</v>
      </c>
      <c r="P45" s="97">
        <f t="shared" si="21"/>
        <v>216466.2</v>
      </c>
      <c r="Q45" s="120">
        <f t="shared" si="22"/>
        <v>434640.2</v>
      </c>
      <c r="R45" s="97">
        <f t="shared" si="18"/>
        <v>50907.40000000002</v>
      </c>
      <c r="S45" s="97">
        <f t="shared" si="23"/>
        <v>-74996.79999999999</v>
      </c>
      <c r="T45" s="97"/>
      <c r="U45" s="158">
        <v>1.25</v>
      </c>
      <c r="V45" s="97">
        <v>124325</v>
      </c>
      <c r="W45" s="196">
        <v>3.24</v>
      </c>
      <c r="X45" s="195">
        <v>93849</v>
      </c>
      <c r="Y45" s="195">
        <v>228401</v>
      </c>
    </row>
    <row r="46" spans="1:25" ht="12.75">
      <c r="A46" s="13" t="s">
        <v>74</v>
      </c>
      <c r="B46" s="59">
        <v>2.7</v>
      </c>
      <c r="C46" s="126">
        <f>B46*$C$5</f>
        <v>268542</v>
      </c>
      <c r="D46" s="126">
        <v>651690</v>
      </c>
      <c r="E46" s="64">
        <v>92237</v>
      </c>
      <c r="F46" s="64">
        <v>95727</v>
      </c>
      <c r="G46" s="69">
        <v>212328</v>
      </c>
      <c r="H46" s="69">
        <v>217963</v>
      </c>
      <c r="I46" s="97">
        <f t="shared" si="19"/>
        <v>582232</v>
      </c>
      <c r="J46" s="97">
        <f t="shared" si="16"/>
        <v>965380</v>
      </c>
      <c r="K46" s="27">
        <v>1.1</v>
      </c>
      <c r="L46" s="97">
        <f>K46*$L$5</f>
        <v>109406.00000000001</v>
      </c>
      <c r="M46" s="27">
        <v>4.02</v>
      </c>
      <c r="N46" s="97">
        <f t="shared" si="20"/>
        <v>399829.19999999995</v>
      </c>
      <c r="O46" s="97">
        <f t="shared" si="17"/>
        <v>217963</v>
      </c>
      <c r="P46" s="97">
        <f t="shared" si="21"/>
        <v>181866.19999999995</v>
      </c>
      <c r="Q46" s="120">
        <f t="shared" si="22"/>
        <v>509235.19999999995</v>
      </c>
      <c r="R46" s="97">
        <f t="shared" si="18"/>
        <v>-72996.80000000005</v>
      </c>
      <c r="S46" s="97">
        <f t="shared" si="23"/>
        <v>-456144.80000000005</v>
      </c>
      <c r="T46" s="97"/>
      <c r="U46" s="158">
        <f>1.1</f>
        <v>1.1</v>
      </c>
      <c r="V46" s="97">
        <f>+U46*99460</f>
        <v>109406.00000000001</v>
      </c>
      <c r="W46" s="196">
        <v>4.12</v>
      </c>
      <c r="X46" s="195">
        <v>217963</v>
      </c>
      <c r="Y46" s="195">
        <v>191812</v>
      </c>
    </row>
    <row r="47" spans="1:25" ht="13.5" thickBot="1">
      <c r="A47" s="15" t="s">
        <v>73</v>
      </c>
      <c r="B47" s="15"/>
      <c r="C47" s="132"/>
      <c r="D47" s="132"/>
      <c r="E47" s="68"/>
      <c r="F47" s="68"/>
      <c r="G47" s="68">
        <v>326292</v>
      </c>
      <c r="H47" s="68">
        <v>331621</v>
      </c>
      <c r="I47" s="97">
        <f t="shared" si="19"/>
        <v>331621</v>
      </c>
      <c r="J47" s="97">
        <f t="shared" si="16"/>
        <v>331621</v>
      </c>
      <c r="K47" s="33"/>
      <c r="L47" s="103"/>
      <c r="M47" s="33">
        <v>3.34</v>
      </c>
      <c r="N47" s="97">
        <f t="shared" si="20"/>
        <v>332196.39999999997</v>
      </c>
      <c r="O47" s="97">
        <f t="shared" si="17"/>
        <v>331621</v>
      </c>
      <c r="P47" s="97">
        <f t="shared" si="21"/>
        <v>575.3999999999651</v>
      </c>
      <c r="Q47" s="120">
        <f t="shared" si="22"/>
        <v>332196.39999999997</v>
      </c>
      <c r="R47" s="97">
        <f t="shared" si="18"/>
        <v>575.3999999999651</v>
      </c>
      <c r="S47" s="97">
        <f t="shared" si="23"/>
        <v>575.3999999999651</v>
      </c>
      <c r="T47" s="98"/>
      <c r="U47" s="165"/>
      <c r="V47" s="103"/>
      <c r="W47" s="198">
        <v>3.33</v>
      </c>
      <c r="X47" s="195">
        <v>331621</v>
      </c>
      <c r="Y47" s="195"/>
    </row>
    <row r="48" spans="1:31" s="1" customFormat="1" ht="13.5" thickBot="1">
      <c r="A48" s="44"/>
      <c r="B48" s="61">
        <f aca="true" t="shared" si="24" ref="B48:J48">SUM(B41:B47)</f>
        <v>12.719999999999999</v>
      </c>
      <c r="C48" s="133">
        <f t="shared" si="24"/>
        <v>1265131.2</v>
      </c>
      <c r="D48" s="133">
        <f t="shared" si="24"/>
        <v>2009182</v>
      </c>
      <c r="E48" s="66">
        <f t="shared" si="24"/>
        <v>671940</v>
      </c>
      <c r="F48" s="66">
        <f t="shared" si="24"/>
        <v>714595</v>
      </c>
      <c r="G48" s="66">
        <f t="shared" si="24"/>
        <v>849006</v>
      </c>
      <c r="H48" s="66">
        <f t="shared" si="24"/>
        <v>889698</v>
      </c>
      <c r="I48" s="99">
        <f t="shared" si="24"/>
        <v>2869424.2</v>
      </c>
      <c r="J48" s="99">
        <f t="shared" si="24"/>
        <v>3613475</v>
      </c>
      <c r="K48" s="45">
        <f>SUM(K41:K47)</f>
        <v>6.66</v>
      </c>
      <c r="L48" s="99">
        <f aca="true" t="shared" si="25" ref="L48:R48">SUM(L41:L47)</f>
        <v>662403.6</v>
      </c>
      <c r="M48" s="45">
        <f>SUM(M41:M47)</f>
        <v>23.98</v>
      </c>
      <c r="N48" s="99">
        <f t="shared" si="25"/>
        <v>2385050.8</v>
      </c>
      <c r="O48" s="99">
        <f t="shared" si="25"/>
        <v>889698</v>
      </c>
      <c r="P48" s="99">
        <f t="shared" si="25"/>
        <v>1495352.7999999998</v>
      </c>
      <c r="Q48" s="99">
        <f t="shared" si="25"/>
        <v>3047454.4</v>
      </c>
      <c r="R48" s="99">
        <f t="shared" si="25"/>
        <v>178030.19999999978</v>
      </c>
      <c r="S48" s="99">
        <f>SUM(S41:S47)</f>
        <v>-566020.6000000001</v>
      </c>
      <c r="T48" s="99"/>
      <c r="U48" s="160">
        <f>SUM(U41:U47)</f>
        <v>6.76</v>
      </c>
      <c r="V48" s="99">
        <f>SUM(V41:V47)</f>
        <v>672349.6000000001</v>
      </c>
      <c r="W48" s="45">
        <f>SUM(W41:W47)</f>
        <v>24.550000000000004</v>
      </c>
      <c r="X48" s="99">
        <f>SUM(X41:X47)</f>
        <v>889698</v>
      </c>
      <c r="Y48" s="99">
        <f>SUM(Y41:Y47)</f>
        <v>1552044</v>
      </c>
      <c r="AC48"/>
      <c r="AD48"/>
      <c r="AE48" s="3"/>
    </row>
    <row r="49" spans="1:31" s="19" customFormat="1" ht="12.75">
      <c r="A49" s="10" t="s">
        <v>34</v>
      </c>
      <c r="B49" s="10"/>
      <c r="C49" s="134"/>
      <c r="D49" s="134"/>
      <c r="E49" s="67"/>
      <c r="F49" s="67"/>
      <c r="G49" s="67"/>
      <c r="H49" s="67"/>
      <c r="I49" s="104"/>
      <c r="J49" s="104"/>
      <c r="K49" s="151"/>
      <c r="L49" s="100"/>
      <c r="M49" s="34"/>
      <c r="N49" s="104"/>
      <c r="O49" s="104"/>
      <c r="P49" s="100"/>
      <c r="Q49" s="121"/>
      <c r="R49" s="100"/>
      <c r="S49" s="104"/>
      <c r="T49" s="104"/>
      <c r="U49" s="166"/>
      <c r="V49" s="100"/>
      <c r="W49" s="34"/>
      <c r="X49" s="104"/>
      <c r="Y49" s="104"/>
      <c r="AC49"/>
      <c r="AD49"/>
      <c r="AE49" s="217"/>
    </row>
    <row r="50" spans="1:31" s="19" customFormat="1" ht="12.75">
      <c r="A50" s="21" t="s">
        <v>35</v>
      </c>
      <c r="B50" s="86">
        <v>4.13</v>
      </c>
      <c r="C50" s="126">
        <f>B50*$C$5</f>
        <v>410769.8</v>
      </c>
      <c r="D50" s="128">
        <v>755736</v>
      </c>
      <c r="E50" s="87">
        <v>329446</v>
      </c>
      <c r="F50" s="87">
        <v>443880</v>
      </c>
      <c r="G50" s="83">
        <v>350011</v>
      </c>
      <c r="H50" s="83">
        <v>340143</v>
      </c>
      <c r="I50" s="97">
        <f>H50+F50+C50</f>
        <v>1194792.8</v>
      </c>
      <c r="J50" s="97">
        <f>D50+F50+H50</f>
        <v>1539759</v>
      </c>
      <c r="K50" s="152">
        <v>4.14</v>
      </c>
      <c r="L50" s="111">
        <f>K50*$L$5</f>
        <v>411764.39999999997</v>
      </c>
      <c r="M50" s="152">
        <v>13.11</v>
      </c>
      <c r="N50" s="97">
        <f>M50*$N$5</f>
        <v>1303920.5999999999</v>
      </c>
      <c r="O50" s="97">
        <f>H50</f>
        <v>340143</v>
      </c>
      <c r="P50" s="97">
        <f>N50-O50</f>
        <v>963777.5999999999</v>
      </c>
      <c r="Q50" s="120">
        <f>L50+N50</f>
        <v>1715684.9999999998</v>
      </c>
      <c r="R50" s="97">
        <f>Q50-I50</f>
        <v>520892.1999999997</v>
      </c>
      <c r="S50" s="97">
        <f>Q50-J50</f>
        <v>175925.99999999977</v>
      </c>
      <c r="T50" s="97"/>
      <c r="U50" s="167">
        <v>4.14</v>
      </c>
      <c r="V50" s="111">
        <v>411764.4</v>
      </c>
      <c r="W50" s="152">
        <v>13.28</v>
      </c>
      <c r="X50" s="97">
        <v>340143</v>
      </c>
      <c r="Y50" s="97">
        <v>980686</v>
      </c>
      <c r="AC50"/>
      <c r="AD50"/>
      <c r="AE50" s="217"/>
    </row>
    <row r="51" spans="1:25" ht="12.75">
      <c r="A51" s="15" t="s">
        <v>36</v>
      </c>
      <c r="B51" s="15"/>
      <c r="C51" s="126"/>
      <c r="D51" s="132"/>
      <c r="E51" s="68"/>
      <c r="F51" s="68"/>
      <c r="G51" s="68"/>
      <c r="H51" s="68"/>
      <c r="I51" s="97"/>
      <c r="J51" s="97"/>
      <c r="K51" s="33"/>
      <c r="L51" s="97"/>
      <c r="M51" s="33"/>
      <c r="N51" s="97"/>
      <c r="O51" s="97"/>
      <c r="P51" s="97"/>
      <c r="Q51" s="120"/>
      <c r="R51" s="97"/>
      <c r="S51" s="97"/>
      <c r="T51" s="97"/>
      <c r="U51" s="165"/>
      <c r="V51" s="97"/>
      <c r="W51" s="33"/>
      <c r="X51" s="97"/>
      <c r="Y51" s="97"/>
    </row>
    <row r="52" spans="1:25" ht="13.5" thickBot="1">
      <c r="A52" s="13" t="s">
        <v>37</v>
      </c>
      <c r="B52" s="59">
        <v>3.39</v>
      </c>
      <c r="C52" s="126">
        <f>B52*$C$5</f>
        <v>337169.4</v>
      </c>
      <c r="D52" s="126">
        <v>357507</v>
      </c>
      <c r="E52" s="64">
        <v>96421</v>
      </c>
      <c r="F52" s="64">
        <v>20397</v>
      </c>
      <c r="G52" s="69">
        <v>264291</v>
      </c>
      <c r="H52" s="69">
        <v>225952</v>
      </c>
      <c r="I52" s="97">
        <f>H52+F52+C52</f>
        <v>583518.4</v>
      </c>
      <c r="J52" s="97">
        <f>D52+F52+H52</f>
        <v>603856</v>
      </c>
      <c r="K52" s="27">
        <v>1.15</v>
      </c>
      <c r="L52" s="97">
        <f>K52*$L$5</f>
        <v>114378.99999999999</v>
      </c>
      <c r="M52" s="27">
        <v>4.99</v>
      </c>
      <c r="N52" s="97">
        <f>M52*$N$5</f>
        <v>496305.4</v>
      </c>
      <c r="O52" s="97">
        <f>H52</f>
        <v>225952</v>
      </c>
      <c r="P52" s="97">
        <f>N52-O52</f>
        <v>270353.4</v>
      </c>
      <c r="Q52" s="120">
        <f>L52+N52</f>
        <v>610684.4</v>
      </c>
      <c r="R52" s="97">
        <f>Q52-I52</f>
        <v>27166</v>
      </c>
      <c r="S52" s="97">
        <f>Q52-J52</f>
        <v>6828.400000000023</v>
      </c>
      <c r="T52" s="97"/>
      <c r="U52" s="158">
        <v>1.15</v>
      </c>
      <c r="V52" s="97">
        <v>114379</v>
      </c>
      <c r="W52" s="27">
        <v>5.08</v>
      </c>
      <c r="X52" s="97">
        <v>113414</v>
      </c>
      <c r="Y52" s="97">
        <v>391843</v>
      </c>
    </row>
    <row r="53" spans="1:31" s="1" customFormat="1" ht="13.5" thickBot="1">
      <c r="A53" s="44"/>
      <c r="B53" s="61">
        <f aca="true" t="shared" si="26" ref="B53:J53">SUM(B50:B52)</f>
        <v>7.52</v>
      </c>
      <c r="C53" s="133">
        <f t="shared" si="26"/>
        <v>747939.2</v>
      </c>
      <c r="D53" s="133">
        <f t="shared" si="26"/>
        <v>1113243</v>
      </c>
      <c r="E53" s="66">
        <f t="shared" si="26"/>
        <v>425867</v>
      </c>
      <c r="F53" s="66">
        <f t="shared" si="26"/>
        <v>464277</v>
      </c>
      <c r="G53" s="66">
        <f t="shared" si="26"/>
        <v>614302</v>
      </c>
      <c r="H53" s="66">
        <f t="shared" si="26"/>
        <v>566095</v>
      </c>
      <c r="I53" s="99">
        <f t="shared" si="26"/>
        <v>1778311.2000000002</v>
      </c>
      <c r="J53" s="99">
        <f t="shared" si="26"/>
        <v>2143615</v>
      </c>
      <c r="K53" s="45">
        <f>SUM(K50:K52)</f>
        <v>5.289999999999999</v>
      </c>
      <c r="L53" s="99">
        <f aca="true" t="shared" si="27" ref="L53:R53">SUM(L50:L52)</f>
        <v>526143.3999999999</v>
      </c>
      <c r="M53" s="45">
        <f>SUM(M50:M52)</f>
        <v>18.1</v>
      </c>
      <c r="N53" s="99">
        <f t="shared" si="27"/>
        <v>1800226</v>
      </c>
      <c r="O53" s="99">
        <f t="shared" si="27"/>
        <v>566095</v>
      </c>
      <c r="P53" s="99">
        <f t="shared" si="27"/>
        <v>1234131</v>
      </c>
      <c r="Q53" s="99">
        <f t="shared" si="27"/>
        <v>2326369.4</v>
      </c>
      <c r="R53" s="99">
        <f t="shared" si="27"/>
        <v>548058.1999999997</v>
      </c>
      <c r="S53" s="99">
        <f>SUM(S50:S52)</f>
        <v>182754.3999999998</v>
      </c>
      <c r="T53" s="99"/>
      <c r="U53" s="160">
        <f>SUM(U50:U52)</f>
        <v>5.289999999999999</v>
      </c>
      <c r="V53" s="99">
        <f>SUM(V50:V52)</f>
        <v>526143.4</v>
      </c>
      <c r="W53" s="45">
        <f>SUM(W50:W52)</f>
        <v>18.36</v>
      </c>
      <c r="X53" s="99">
        <f>SUM(X50:X52)</f>
        <v>453557</v>
      </c>
      <c r="Y53" s="99">
        <f>SUM(Y50:Y52)</f>
        <v>1372529</v>
      </c>
      <c r="AC53"/>
      <c r="AD53"/>
      <c r="AE53" s="3"/>
    </row>
    <row r="54" spans="1:31" s="19" customFormat="1" ht="12.75">
      <c r="A54" s="10" t="s">
        <v>38</v>
      </c>
      <c r="B54" s="10"/>
      <c r="C54" s="134"/>
      <c r="D54" s="134"/>
      <c r="E54" s="67"/>
      <c r="F54" s="67"/>
      <c r="G54" s="67"/>
      <c r="H54" s="67"/>
      <c r="I54" s="104"/>
      <c r="J54" s="104"/>
      <c r="K54" s="151"/>
      <c r="L54" s="104"/>
      <c r="M54" s="34"/>
      <c r="N54" s="104"/>
      <c r="O54" s="104"/>
      <c r="P54" s="100"/>
      <c r="Q54" s="121"/>
      <c r="R54" s="100"/>
      <c r="S54" s="104"/>
      <c r="T54" s="104"/>
      <c r="U54" s="166"/>
      <c r="V54" s="104"/>
      <c r="W54" s="34"/>
      <c r="X54" s="104"/>
      <c r="Y54" s="104"/>
      <c r="AC54"/>
      <c r="AD54"/>
      <c r="AE54" s="217"/>
    </row>
    <row r="55" spans="1:31" s="19" customFormat="1" ht="12.75">
      <c r="A55" s="21" t="s">
        <v>39</v>
      </c>
      <c r="B55" s="86">
        <v>2.96</v>
      </c>
      <c r="C55" s="126">
        <f>B55*$C$5</f>
        <v>294401.6</v>
      </c>
      <c r="D55" s="128">
        <v>963506</v>
      </c>
      <c r="E55" s="113">
        <v>324403</v>
      </c>
      <c r="F55" s="113">
        <v>327276</v>
      </c>
      <c r="G55" s="83">
        <v>634062</v>
      </c>
      <c r="H55" s="83">
        <v>562431</v>
      </c>
      <c r="I55" s="97">
        <f aca="true" t="shared" si="28" ref="I55:I60">H55+F55+C55</f>
        <v>1184108.6</v>
      </c>
      <c r="J55" s="97">
        <f aca="true" t="shared" si="29" ref="J55:J60">D55+F55+H55</f>
        <v>1853213</v>
      </c>
      <c r="K55" s="33">
        <v>6.07</v>
      </c>
      <c r="L55" s="97">
        <f>K55*$L$5</f>
        <v>603722.2000000001</v>
      </c>
      <c r="M55" s="152">
        <v>17.34</v>
      </c>
      <c r="N55" s="97">
        <f aca="true" t="shared" si="30" ref="N55:N60">M55*$N$5</f>
        <v>1724636.4</v>
      </c>
      <c r="O55" s="97">
        <f aca="true" t="shared" si="31" ref="O55:O60">H55</f>
        <v>562431</v>
      </c>
      <c r="P55" s="97">
        <f aca="true" t="shared" si="32" ref="P55:P60">N55-O55</f>
        <v>1162205.4</v>
      </c>
      <c r="Q55" s="120">
        <f aca="true" t="shared" si="33" ref="Q55:Q60">L55+N55</f>
        <v>2328358.6</v>
      </c>
      <c r="R55" s="97">
        <f aca="true" t="shared" si="34" ref="R55:R60">Q55-I55</f>
        <v>1144250</v>
      </c>
      <c r="S55" s="97">
        <f aca="true" t="shared" si="35" ref="S55:S60">Q55-J55</f>
        <v>475145.6000000001</v>
      </c>
      <c r="T55" s="97"/>
      <c r="U55" s="201">
        <v>5.77</v>
      </c>
      <c r="V55" s="195">
        <v>573884</v>
      </c>
      <c r="W55" s="152">
        <v>17.96</v>
      </c>
      <c r="X55" s="97">
        <v>562431</v>
      </c>
      <c r="Y55" s="97">
        <v>1223871</v>
      </c>
      <c r="AC55"/>
      <c r="AD55"/>
      <c r="AE55" s="217"/>
    </row>
    <row r="56" spans="1:25" ht="12.75">
      <c r="A56" s="21" t="s">
        <v>40</v>
      </c>
      <c r="B56" s="86">
        <v>0.8</v>
      </c>
      <c r="C56" s="126">
        <f>B56*$C$5</f>
        <v>79568</v>
      </c>
      <c r="D56" s="128">
        <v>248612</v>
      </c>
      <c r="E56" s="87">
        <v>109295</v>
      </c>
      <c r="F56" s="87">
        <v>114554</v>
      </c>
      <c r="G56" s="83"/>
      <c r="H56" s="83"/>
      <c r="I56" s="97">
        <f t="shared" si="28"/>
        <v>194122</v>
      </c>
      <c r="J56" s="97">
        <f t="shared" si="29"/>
        <v>363166</v>
      </c>
      <c r="K56" s="27">
        <v>0.94</v>
      </c>
      <c r="L56" s="97">
        <f>K56*$L$5</f>
        <v>93492.4</v>
      </c>
      <c r="M56" s="152">
        <v>1</v>
      </c>
      <c r="N56" s="97">
        <f t="shared" si="30"/>
        <v>99460</v>
      </c>
      <c r="O56" s="97">
        <f t="shared" si="31"/>
        <v>0</v>
      </c>
      <c r="P56" s="97">
        <f t="shared" si="32"/>
        <v>99460</v>
      </c>
      <c r="Q56" s="120">
        <f t="shared" si="33"/>
        <v>192952.4</v>
      </c>
      <c r="R56" s="97">
        <f t="shared" si="34"/>
        <v>-1169.6000000000058</v>
      </c>
      <c r="S56" s="97">
        <f t="shared" si="35"/>
        <v>-170213.6</v>
      </c>
      <c r="T56" s="97"/>
      <c r="U56" s="202">
        <v>0.94</v>
      </c>
      <c r="V56" s="195">
        <v>93492.4</v>
      </c>
      <c r="W56" s="152">
        <v>1</v>
      </c>
      <c r="X56" s="97">
        <v>0</v>
      </c>
      <c r="Y56" s="97">
        <v>99460</v>
      </c>
    </row>
    <row r="57" spans="1:25" ht="12.75">
      <c r="A57" s="13" t="s">
        <v>41</v>
      </c>
      <c r="B57" s="59">
        <v>1.07</v>
      </c>
      <c r="C57" s="126">
        <f>B57*$C$5</f>
        <v>106422.20000000001</v>
      </c>
      <c r="D57" s="126">
        <v>323703</v>
      </c>
      <c r="E57" s="64">
        <v>98366</v>
      </c>
      <c r="F57" s="64">
        <v>103676</v>
      </c>
      <c r="G57" s="69">
        <v>244140</v>
      </c>
      <c r="H57" s="69">
        <v>145947</v>
      </c>
      <c r="I57" s="97">
        <f t="shared" si="28"/>
        <v>356045.2</v>
      </c>
      <c r="J57" s="97">
        <f t="shared" si="29"/>
        <v>573326</v>
      </c>
      <c r="K57" s="27">
        <v>0.97</v>
      </c>
      <c r="L57" s="97">
        <f>K57*$L$5</f>
        <v>96476.2</v>
      </c>
      <c r="M57" s="27">
        <v>3.46</v>
      </c>
      <c r="N57" s="97">
        <f t="shared" si="30"/>
        <v>344131.6</v>
      </c>
      <c r="O57" s="97">
        <f t="shared" si="31"/>
        <v>145947</v>
      </c>
      <c r="P57" s="97">
        <f t="shared" si="32"/>
        <v>198184.59999999998</v>
      </c>
      <c r="Q57" s="120">
        <f t="shared" si="33"/>
        <v>440607.8</v>
      </c>
      <c r="R57" s="97">
        <f t="shared" si="34"/>
        <v>84562.59999999998</v>
      </c>
      <c r="S57" s="97">
        <f t="shared" si="35"/>
        <v>-132718.2</v>
      </c>
      <c r="T57" s="97"/>
      <c r="U57" s="202">
        <v>0.97</v>
      </c>
      <c r="V57" s="195">
        <v>96476.2</v>
      </c>
      <c r="W57" s="27">
        <v>3.57</v>
      </c>
      <c r="X57" s="97">
        <v>145947</v>
      </c>
      <c r="Y57" s="97">
        <v>209125</v>
      </c>
    </row>
    <row r="58" spans="1:25" ht="12.75">
      <c r="A58" s="13" t="s">
        <v>42</v>
      </c>
      <c r="B58" s="59">
        <v>2.12</v>
      </c>
      <c r="C58" s="126">
        <f>B58*$C$5</f>
        <v>210855.2</v>
      </c>
      <c r="D58" s="126">
        <v>308816</v>
      </c>
      <c r="E58" s="64">
        <v>161663</v>
      </c>
      <c r="F58" s="64">
        <v>189252</v>
      </c>
      <c r="G58" s="69">
        <v>331068</v>
      </c>
      <c r="H58" s="69">
        <v>232203</v>
      </c>
      <c r="I58" s="97">
        <f t="shared" si="28"/>
        <v>632310.2</v>
      </c>
      <c r="J58" s="97">
        <f t="shared" si="29"/>
        <v>730271</v>
      </c>
      <c r="K58" s="27">
        <v>1.35</v>
      </c>
      <c r="L58" s="97">
        <f>K58*$L$5</f>
        <v>134271</v>
      </c>
      <c r="M58" s="27">
        <v>5.05</v>
      </c>
      <c r="N58" s="97">
        <f t="shared" si="30"/>
        <v>502273</v>
      </c>
      <c r="O58" s="97">
        <f t="shared" si="31"/>
        <v>232203</v>
      </c>
      <c r="P58" s="97">
        <f t="shared" si="32"/>
        <v>270070</v>
      </c>
      <c r="Q58" s="120">
        <f t="shared" si="33"/>
        <v>636544</v>
      </c>
      <c r="R58" s="97">
        <f t="shared" si="34"/>
        <v>4233.800000000047</v>
      </c>
      <c r="S58" s="97">
        <f t="shared" si="35"/>
        <v>-93727</v>
      </c>
      <c r="T58" s="97"/>
      <c r="U58" s="202">
        <v>1.35</v>
      </c>
      <c r="V58" s="195">
        <v>134271</v>
      </c>
      <c r="W58" s="27">
        <v>5.21</v>
      </c>
      <c r="X58" s="97">
        <v>232203</v>
      </c>
      <c r="Y58" s="97">
        <v>285984</v>
      </c>
    </row>
    <row r="59" spans="1:25" ht="12.75">
      <c r="A59" s="14" t="s">
        <v>119</v>
      </c>
      <c r="B59" s="14"/>
      <c r="C59" s="126"/>
      <c r="D59" s="137"/>
      <c r="E59" s="71"/>
      <c r="F59" s="71"/>
      <c r="G59" s="80">
        <v>360906</v>
      </c>
      <c r="H59" s="80">
        <v>297861</v>
      </c>
      <c r="I59" s="97">
        <f t="shared" si="28"/>
        <v>297861</v>
      </c>
      <c r="J59" s="97">
        <f t="shared" si="29"/>
        <v>297861</v>
      </c>
      <c r="K59" s="148"/>
      <c r="L59" s="101"/>
      <c r="M59" s="148">
        <v>3</v>
      </c>
      <c r="N59" s="97">
        <f t="shared" si="30"/>
        <v>298380</v>
      </c>
      <c r="O59" s="97">
        <f t="shared" si="31"/>
        <v>297861</v>
      </c>
      <c r="P59" s="97">
        <f t="shared" si="32"/>
        <v>519</v>
      </c>
      <c r="Q59" s="120">
        <f t="shared" si="33"/>
        <v>298380</v>
      </c>
      <c r="R59" s="97">
        <f t="shared" si="34"/>
        <v>519</v>
      </c>
      <c r="S59" s="97">
        <f t="shared" si="35"/>
        <v>519</v>
      </c>
      <c r="T59" s="97"/>
      <c r="U59" s="203"/>
      <c r="V59" s="204"/>
      <c r="W59" s="148">
        <v>3</v>
      </c>
      <c r="X59" s="97">
        <v>297861</v>
      </c>
      <c r="Y59" s="97">
        <v>519</v>
      </c>
    </row>
    <row r="60" spans="1:25" ht="13.5" thickBot="1">
      <c r="A60" s="14" t="s">
        <v>77</v>
      </c>
      <c r="B60" s="59">
        <v>2.04</v>
      </c>
      <c r="C60" s="126">
        <f>B60*$C$5</f>
        <v>202898.4</v>
      </c>
      <c r="D60" s="126">
        <v>201599</v>
      </c>
      <c r="E60" s="64">
        <v>27298</v>
      </c>
      <c r="F60" s="95">
        <v>52725</v>
      </c>
      <c r="G60" s="80">
        <v>195000</v>
      </c>
      <c r="H60" s="80">
        <v>158892</v>
      </c>
      <c r="I60" s="97">
        <f t="shared" si="28"/>
        <v>414515.4</v>
      </c>
      <c r="J60" s="97">
        <f t="shared" si="29"/>
        <v>413216</v>
      </c>
      <c r="K60" s="148"/>
      <c r="L60" s="101"/>
      <c r="M60" s="148">
        <v>2.17</v>
      </c>
      <c r="N60" s="97">
        <f t="shared" si="30"/>
        <v>215828.19999999998</v>
      </c>
      <c r="O60" s="97">
        <f t="shared" si="31"/>
        <v>158892</v>
      </c>
      <c r="P60" s="97">
        <f t="shared" si="32"/>
        <v>56936.19999999998</v>
      </c>
      <c r="Q60" s="120">
        <f t="shared" si="33"/>
        <v>215828.19999999998</v>
      </c>
      <c r="R60" s="97">
        <f t="shared" si="34"/>
        <v>-198687.20000000004</v>
      </c>
      <c r="S60" s="97">
        <f t="shared" si="35"/>
        <v>-197387.80000000002</v>
      </c>
      <c r="T60" s="112"/>
      <c r="U60" s="203">
        <v>0.3</v>
      </c>
      <c r="V60" s="204">
        <v>29838</v>
      </c>
      <c r="W60" s="148">
        <v>2.44</v>
      </c>
      <c r="X60" s="97">
        <v>158892</v>
      </c>
      <c r="Y60" s="97">
        <v>83790</v>
      </c>
    </row>
    <row r="61" spans="1:31" s="1" customFormat="1" ht="13.5" thickBot="1">
      <c r="A61" s="44"/>
      <c r="B61" s="61">
        <f aca="true" t="shared" si="36" ref="B61:J61">SUM(B55:B60)</f>
        <v>8.99</v>
      </c>
      <c r="C61" s="133">
        <f t="shared" si="36"/>
        <v>894145.4</v>
      </c>
      <c r="D61" s="133">
        <f t="shared" si="36"/>
        <v>2046236</v>
      </c>
      <c r="E61" s="66">
        <f t="shared" si="36"/>
        <v>721025</v>
      </c>
      <c r="F61" s="66">
        <f t="shared" si="36"/>
        <v>787483</v>
      </c>
      <c r="G61" s="66">
        <f t="shared" si="36"/>
        <v>1765176</v>
      </c>
      <c r="H61" s="66">
        <f t="shared" si="36"/>
        <v>1397334</v>
      </c>
      <c r="I61" s="99">
        <f t="shared" si="36"/>
        <v>3078962.4</v>
      </c>
      <c r="J61" s="99">
        <f t="shared" si="36"/>
        <v>4231053</v>
      </c>
      <c r="K61" s="45">
        <f>SUM(K55:K60)</f>
        <v>9.33</v>
      </c>
      <c r="L61" s="99">
        <f aca="true" t="shared" si="37" ref="L61:R61">SUM(L55:L60)</f>
        <v>927961.8</v>
      </c>
      <c r="M61" s="45">
        <f>SUM(M55:M60)</f>
        <v>32.02</v>
      </c>
      <c r="N61" s="99">
        <f t="shared" si="37"/>
        <v>3184709.2</v>
      </c>
      <c r="O61" s="99">
        <f t="shared" si="37"/>
        <v>1397334</v>
      </c>
      <c r="P61" s="99">
        <f t="shared" si="37"/>
        <v>1787375.2</v>
      </c>
      <c r="Q61" s="99">
        <f t="shared" si="37"/>
        <v>4112671</v>
      </c>
      <c r="R61" s="99">
        <f t="shared" si="37"/>
        <v>1033708.6</v>
      </c>
      <c r="S61" s="99">
        <f>SUM(S55:S60)</f>
        <v>-118381.99999999991</v>
      </c>
      <c r="T61" s="99"/>
      <c r="U61" s="160">
        <f>SUM(U55:U60)</f>
        <v>9.33</v>
      </c>
      <c r="V61" s="99">
        <f>SUM(V55:V60)</f>
        <v>927961.6</v>
      </c>
      <c r="W61" s="45">
        <f>SUM(W55:W60)</f>
        <v>33.18</v>
      </c>
      <c r="X61" s="99">
        <v>1397334</v>
      </c>
      <c r="Y61" s="99">
        <f>SUM(Y55:Y60)</f>
        <v>1902749</v>
      </c>
      <c r="AC61"/>
      <c r="AD61"/>
      <c r="AE61" s="3"/>
    </row>
    <row r="62" spans="1:25" ht="13.5" thickBot="1">
      <c r="A62" s="10" t="s">
        <v>43</v>
      </c>
      <c r="B62" s="10"/>
      <c r="C62" s="134"/>
      <c r="D62" s="134"/>
      <c r="E62" s="67"/>
      <c r="F62" s="67"/>
      <c r="G62" s="67"/>
      <c r="H62" s="67"/>
      <c r="I62" s="100"/>
      <c r="J62" s="100"/>
      <c r="K62" s="94"/>
      <c r="L62" s="100"/>
      <c r="M62" s="94"/>
      <c r="N62" s="100"/>
      <c r="O62" s="100"/>
      <c r="P62" s="100"/>
      <c r="Q62" s="121"/>
      <c r="R62" s="100"/>
      <c r="S62" s="104"/>
      <c r="T62" s="104"/>
      <c r="U62" s="168"/>
      <c r="V62" s="100"/>
      <c r="W62" s="94"/>
      <c r="X62" s="100"/>
      <c r="Y62" s="100"/>
    </row>
    <row r="63" spans="1:25" ht="12.75">
      <c r="A63" s="18" t="s">
        <v>66</v>
      </c>
      <c r="B63" s="86">
        <v>0.07</v>
      </c>
      <c r="C63" s="126">
        <f>B63*$C$5</f>
        <v>6962.200000000001</v>
      </c>
      <c r="D63" s="128">
        <v>180333</v>
      </c>
      <c r="E63" s="87">
        <v>0</v>
      </c>
      <c r="F63" s="87"/>
      <c r="G63" s="63">
        <v>984768</v>
      </c>
      <c r="H63" s="63">
        <v>1199215</v>
      </c>
      <c r="I63" s="97">
        <f>H63+F63+C63</f>
        <v>1206177.2</v>
      </c>
      <c r="J63" s="111">
        <f aca="true" t="shared" si="38" ref="J63:J75">D63+F63+H63</f>
        <v>1379548</v>
      </c>
      <c r="K63" s="149">
        <v>0.53</v>
      </c>
      <c r="L63" s="102"/>
      <c r="M63" s="149">
        <v>12.06</v>
      </c>
      <c r="N63" s="111">
        <f>M63*$N$5</f>
        <v>1199487.6</v>
      </c>
      <c r="O63" s="111">
        <f aca="true" t="shared" si="39" ref="O63:O75">H63</f>
        <v>1199215</v>
      </c>
      <c r="P63" s="97">
        <f>N63-O63</f>
        <v>272.60000000009313</v>
      </c>
      <c r="Q63" s="120">
        <f>L63+N63</f>
        <v>1199487.6</v>
      </c>
      <c r="R63" s="97">
        <f aca="true" t="shared" si="40" ref="R63:R75">Q63-I63</f>
        <v>-6689.59999999986</v>
      </c>
      <c r="S63" s="97">
        <f>Q63-J63</f>
        <v>-180060.3999999999</v>
      </c>
      <c r="T63" s="97"/>
      <c r="U63" s="205">
        <v>0.02</v>
      </c>
      <c r="V63" s="206">
        <v>1989</v>
      </c>
      <c r="W63" s="192">
        <v>12.06</v>
      </c>
      <c r="X63" s="193">
        <v>1199215</v>
      </c>
      <c r="Y63" s="193">
        <v>273</v>
      </c>
    </row>
    <row r="64" spans="1:25" ht="12.75">
      <c r="A64" s="16" t="s">
        <v>63</v>
      </c>
      <c r="B64" s="59">
        <v>0.41</v>
      </c>
      <c r="C64" s="126">
        <f aca="true" t="shared" si="41" ref="C64:C75">B64*$C$5</f>
        <v>40778.6</v>
      </c>
      <c r="D64" s="126">
        <v>523230</v>
      </c>
      <c r="E64" s="64">
        <v>91453</v>
      </c>
      <c r="F64" s="64">
        <v>203048</v>
      </c>
      <c r="G64" s="81">
        <v>541944</v>
      </c>
      <c r="H64" s="81">
        <v>478339</v>
      </c>
      <c r="I64" s="97">
        <f aca="true" t="shared" si="42" ref="I64:I75">H64+F64+C64</f>
        <v>722165.6</v>
      </c>
      <c r="J64" s="97">
        <f t="shared" si="38"/>
        <v>1204617</v>
      </c>
      <c r="K64" s="129">
        <v>1</v>
      </c>
      <c r="L64" s="97">
        <f aca="true" t="shared" si="43" ref="L64:L75">K64*$L$5</f>
        <v>99460</v>
      </c>
      <c r="M64" s="129">
        <v>8.27</v>
      </c>
      <c r="N64" s="97">
        <f aca="true" t="shared" si="44" ref="N64:N75">M64*$N$5</f>
        <v>822534.2</v>
      </c>
      <c r="O64" s="97">
        <f t="shared" si="39"/>
        <v>478339</v>
      </c>
      <c r="P64" s="97">
        <f aca="true" t="shared" si="45" ref="P64:P75">N64-O64</f>
        <v>344195.19999999995</v>
      </c>
      <c r="Q64" s="120">
        <f aca="true" t="shared" si="46" ref="Q64:Q75">L64+N64</f>
        <v>921994.2</v>
      </c>
      <c r="R64" s="97">
        <f t="shared" si="40"/>
        <v>199828.59999999998</v>
      </c>
      <c r="S64" s="97">
        <f aca="true" t="shared" si="47" ref="S64:S75">Q64-J64</f>
        <v>-282622.80000000005</v>
      </c>
      <c r="T64" s="97"/>
      <c r="U64" s="207">
        <v>1</v>
      </c>
      <c r="V64" s="195">
        <v>99460</v>
      </c>
      <c r="W64" s="194">
        <v>7.94</v>
      </c>
      <c r="X64" s="195">
        <v>478339</v>
      </c>
      <c r="Y64" s="195">
        <v>311373</v>
      </c>
    </row>
    <row r="65" spans="1:25" ht="12.75">
      <c r="A65" s="16" t="s">
        <v>67</v>
      </c>
      <c r="B65" s="59">
        <v>0.58</v>
      </c>
      <c r="C65" s="126">
        <f t="shared" si="41"/>
        <v>57686.799999999996</v>
      </c>
      <c r="D65" s="126">
        <v>957021</v>
      </c>
      <c r="E65" s="64">
        <v>542369</v>
      </c>
      <c r="F65" s="64">
        <v>666593</v>
      </c>
      <c r="G65" s="81">
        <v>160368</v>
      </c>
      <c r="H65" s="81">
        <v>164667</v>
      </c>
      <c r="I65" s="97">
        <f t="shared" si="42"/>
        <v>888946.8</v>
      </c>
      <c r="J65" s="97">
        <f t="shared" si="38"/>
        <v>1788281</v>
      </c>
      <c r="K65" s="153">
        <v>1</v>
      </c>
      <c r="L65" s="97">
        <f>K65*$L$5</f>
        <v>99460</v>
      </c>
      <c r="M65" s="153">
        <v>6.66</v>
      </c>
      <c r="N65" s="97">
        <f t="shared" si="44"/>
        <v>662403.6</v>
      </c>
      <c r="O65" s="97">
        <f t="shared" si="39"/>
        <v>164667</v>
      </c>
      <c r="P65" s="97">
        <f t="shared" si="45"/>
        <v>497736.6</v>
      </c>
      <c r="Q65" s="120">
        <f t="shared" si="46"/>
        <v>761863.6</v>
      </c>
      <c r="R65" s="97">
        <f t="shared" si="40"/>
        <v>-127083.20000000007</v>
      </c>
      <c r="S65" s="97">
        <f t="shared" si="47"/>
        <v>-1026417.4</v>
      </c>
      <c r="T65" s="97"/>
      <c r="U65" s="207">
        <v>1</v>
      </c>
      <c r="V65" s="195">
        <v>99460</v>
      </c>
      <c r="W65" s="194">
        <v>6.45</v>
      </c>
      <c r="X65" s="195">
        <v>164667</v>
      </c>
      <c r="Y65" s="195">
        <v>476850</v>
      </c>
    </row>
    <row r="66" spans="1:25" ht="12.75">
      <c r="A66" s="16" t="s">
        <v>68</v>
      </c>
      <c r="B66" s="59">
        <v>1.36</v>
      </c>
      <c r="C66" s="126">
        <f t="shared" si="41"/>
        <v>135265.6</v>
      </c>
      <c r="D66" s="126">
        <v>312669</v>
      </c>
      <c r="E66" s="64">
        <v>1009928</v>
      </c>
      <c r="F66" s="64">
        <v>1173717</v>
      </c>
      <c r="G66" s="81"/>
      <c r="H66" s="81"/>
      <c r="I66" s="97">
        <f t="shared" si="42"/>
        <v>1308982.6</v>
      </c>
      <c r="J66" s="97">
        <f t="shared" si="38"/>
        <v>1486386</v>
      </c>
      <c r="K66" s="153">
        <v>0.55</v>
      </c>
      <c r="L66" s="97">
        <f t="shared" si="43"/>
        <v>54703.00000000001</v>
      </c>
      <c r="M66" s="153">
        <v>5.54</v>
      </c>
      <c r="N66" s="97">
        <f t="shared" si="44"/>
        <v>551008.4</v>
      </c>
      <c r="O66" s="97">
        <f t="shared" si="39"/>
        <v>0</v>
      </c>
      <c r="P66" s="97">
        <f t="shared" si="45"/>
        <v>551008.4</v>
      </c>
      <c r="Q66" s="120">
        <f t="shared" si="46"/>
        <v>605711.4</v>
      </c>
      <c r="R66" s="97">
        <f t="shared" si="40"/>
        <v>-703271.2000000001</v>
      </c>
      <c r="S66" s="97">
        <f t="shared" si="47"/>
        <v>-880674.6</v>
      </c>
      <c r="T66" s="97"/>
      <c r="U66" s="207">
        <v>0.55</v>
      </c>
      <c r="V66" s="195">
        <v>54703</v>
      </c>
      <c r="W66" s="194">
        <v>7.54</v>
      </c>
      <c r="X66" s="195">
        <v>0</v>
      </c>
      <c r="Y66" s="195">
        <v>749928</v>
      </c>
    </row>
    <row r="67" spans="1:25" ht="12.75">
      <c r="A67" s="16" t="s">
        <v>69</v>
      </c>
      <c r="B67" s="59">
        <v>5.81</v>
      </c>
      <c r="C67" s="126">
        <f t="shared" si="41"/>
        <v>577862.6</v>
      </c>
      <c r="D67" s="126">
        <v>768602</v>
      </c>
      <c r="E67" s="64">
        <v>218174</v>
      </c>
      <c r="F67" s="64">
        <v>210477</v>
      </c>
      <c r="G67" s="81">
        <v>24024</v>
      </c>
      <c r="H67" s="81">
        <v>19393</v>
      </c>
      <c r="I67" s="97">
        <f t="shared" si="42"/>
        <v>807732.6</v>
      </c>
      <c r="J67" s="97">
        <f t="shared" si="38"/>
        <v>998472</v>
      </c>
      <c r="K67" s="153">
        <v>2</v>
      </c>
      <c r="L67" s="97">
        <f t="shared" si="43"/>
        <v>198920</v>
      </c>
      <c r="M67" s="153">
        <v>3.2</v>
      </c>
      <c r="N67" s="97">
        <f t="shared" si="44"/>
        <v>318272</v>
      </c>
      <c r="O67" s="97">
        <f t="shared" si="39"/>
        <v>19393</v>
      </c>
      <c r="P67" s="97">
        <f t="shared" si="45"/>
        <v>298879</v>
      </c>
      <c r="Q67" s="120">
        <f t="shared" si="46"/>
        <v>517192</v>
      </c>
      <c r="R67" s="97">
        <f t="shared" si="40"/>
        <v>-290540.6</v>
      </c>
      <c r="S67" s="97">
        <f t="shared" si="47"/>
        <v>-481280</v>
      </c>
      <c r="T67" s="97"/>
      <c r="U67" s="207">
        <v>2</v>
      </c>
      <c r="V67" s="195">
        <v>198920</v>
      </c>
      <c r="W67" s="194">
        <v>3.2</v>
      </c>
      <c r="X67" s="195">
        <v>19393</v>
      </c>
      <c r="Y67" s="195">
        <v>298879</v>
      </c>
    </row>
    <row r="68" spans="1:25" ht="12.75">
      <c r="A68" s="16" t="s">
        <v>64</v>
      </c>
      <c r="B68" s="59">
        <v>0.07</v>
      </c>
      <c r="C68" s="126">
        <f t="shared" si="41"/>
        <v>6962.200000000001</v>
      </c>
      <c r="D68" s="126">
        <v>1615487</v>
      </c>
      <c r="E68" s="64">
        <v>1199738</v>
      </c>
      <c r="F68" s="64">
        <v>725139</v>
      </c>
      <c r="G68" s="81"/>
      <c r="H68" s="81"/>
      <c r="I68" s="97">
        <f t="shared" si="42"/>
        <v>732101.2</v>
      </c>
      <c r="J68" s="97">
        <f t="shared" si="38"/>
        <v>2340626</v>
      </c>
      <c r="K68" s="153">
        <v>3</v>
      </c>
      <c r="L68" s="97">
        <f t="shared" si="43"/>
        <v>298380</v>
      </c>
      <c r="M68" s="153">
        <v>9</v>
      </c>
      <c r="N68" s="97">
        <f t="shared" si="44"/>
        <v>895140</v>
      </c>
      <c r="O68" s="97">
        <f t="shared" si="39"/>
        <v>0</v>
      </c>
      <c r="P68" s="97">
        <f t="shared" si="45"/>
        <v>895140</v>
      </c>
      <c r="Q68" s="120">
        <f t="shared" si="46"/>
        <v>1193520</v>
      </c>
      <c r="R68" s="97">
        <f t="shared" si="40"/>
        <v>461418.80000000005</v>
      </c>
      <c r="S68" s="97">
        <f t="shared" si="47"/>
        <v>-1147106</v>
      </c>
      <c r="T68" s="97"/>
      <c r="U68" s="207">
        <v>3</v>
      </c>
      <c r="V68" s="195">
        <v>298380</v>
      </c>
      <c r="W68" s="194">
        <v>5.59</v>
      </c>
      <c r="X68" s="195">
        <v>0</v>
      </c>
      <c r="Y68" s="195">
        <v>555981</v>
      </c>
    </row>
    <row r="69" spans="1:25" ht="12.75">
      <c r="A69" s="16" t="s">
        <v>70</v>
      </c>
      <c r="B69" s="59">
        <v>0.38</v>
      </c>
      <c r="C69" s="126">
        <f t="shared" si="41"/>
        <v>37794.8</v>
      </c>
      <c r="D69" s="126">
        <v>1147938</v>
      </c>
      <c r="E69" s="64">
        <v>640515</v>
      </c>
      <c r="F69" s="64">
        <v>628029</v>
      </c>
      <c r="G69" s="81"/>
      <c r="H69" s="81"/>
      <c r="I69" s="97">
        <f t="shared" si="42"/>
        <v>665823.8</v>
      </c>
      <c r="J69" s="97">
        <f t="shared" si="38"/>
        <v>1775967</v>
      </c>
      <c r="K69" s="129">
        <v>0.5</v>
      </c>
      <c r="L69" s="97">
        <f t="shared" si="43"/>
        <v>49730</v>
      </c>
      <c r="M69" s="129">
        <v>3.15</v>
      </c>
      <c r="N69" s="97">
        <f t="shared" si="44"/>
        <v>313299</v>
      </c>
      <c r="O69" s="97">
        <f t="shared" si="39"/>
        <v>0</v>
      </c>
      <c r="P69" s="97">
        <f t="shared" si="45"/>
        <v>313299</v>
      </c>
      <c r="Q69" s="120">
        <f t="shared" si="46"/>
        <v>363029</v>
      </c>
      <c r="R69" s="97">
        <f t="shared" si="40"/>
        <v>-302794.80000000005</v>
      </c>
      <c r="S69" s="97">
        <f t="shared" si="47"/>
        <v>-1412938</v>
      </c>
      <c r="T69" s="97"/>
      <c r="U69" s="207">
        <v>0.5</v>
      </c>
      <c r="V69" s="195">
        <v>49730</v>
      </c>
      <c r="W69" s="194">
        <v>2.58</v>
      </c>
      <c r="X69" s="195">
        <v>0</v>
      </c>
      <c r="Y69" s="195">
        <v>256607</v>
      </c>
    </row>
    <row r="70" spans="1:25" ht="12.75">
      <c r="A70" s="16" t="s">
        <v>65</v>
      </c>
      <c r="B70" s="59">
        <v>0.25</v>
      </c>
      <c r="C70" s="126">
        <f t="shared" si="41"/>
        <v>24865</v>
      </c>
      <c r="D70" s="126">
        <v>344696</v>
      </c>
      <c r="E70" s="64">
        <v>945644</v>
      </c>
      <c r="F70" s="64">
        <v>840701</v>
      </c>
      <c r="G70" s="81"/>
      <c r="H70" s="81"/>
      <c r="I70" s="97">
        <f t="shared" si="42"/>
        <v>865566</v>
      </c>
      <c r="J70" s="97">
        <f t="shared" si="38"/>
        <v>1185397</v>
      </c>
      <c r="K70" s="153">
        <v>0.5</v>
      </c>
      <c r="L70" s="97">
        <f t="shared" si="43"/>
        <v>49730</v>
      </c>
      <c r="M70" s="153">
        <v>4</v>
      </c>
      <c r="N70" s="97">
        <f t="shared" si="44"/>
        <v>397840</v>
      </c>
      <c r="O70" s="97">
        <f t="shared" si="39"/>
        <v>0</v>
      </c>
      <c r="P70" s="97">
        <f t="shared" si="45"/>
        <v>397840</v>
      </c>
      <c r="Q70" s="120">
        <f t="shared" si="46"/>
        <v>447570</v>
      </c>
      <c r="R70" s="97">
        <f t="shared" si="40"/>
        <v>-417996</v>
      </c>
      <c r="S70" s="97">
        <f t="shared" si="47"/>
        <v>-737827</v>
      </c>
      <c r="T70" s="97"/>
      <c r="U70" s="207">
        <v>0.5</v>
      </c>
      <c r="V70" s="195">
        <v>49730</v>
      </c>
      <c r="W70" s="194">
        <v>5</v>
      </c>
      <c r="X70" s="195">
        <v>0</v>
      </c>
      <c r="Y70" s="195">
        <v>497300</v>
      </c>
    </row>
    <row r="71" spans="1:25" ht="12.75">
      <c r="A71" s="22" t="s">
        <v>44</v>
      </c>
      <c r="B71" s="59">
        <v>6.8</v>
      </c>
      <c r="C71" s="126">
        <f t="shared" si="41"/>
        <v>676328</v>
      </c>
      <c r="D71" s="126">
        <v>805533</v>
      </c>
      <c r="E71" s="64">
        <v>86074</v>
      </c>
      <c r="F71" s="73">
        <v>165726</v>
      </c>
      <c r="G71" s="72"/>
      <c r="H71" s="72"/>
      <c r="I71" s="97">
        <f t="shared" si="42"/>
        <v>842054</v>
      </c>
      <c r="J71" s="97">
        <f t="shared" si="38"/>
        <v>971259</v>
      </c>
      <c r="K71" s="154">
        <v>6.5</v>
      </c>
      <c r="L71" s="97">
        <f t="shared" si="43"/>
        <v>646490</v>
      </c>
      <c r="M71" s="154">
        <v>2</v>
      </c>
      <c r="N71" s="97">
        <f t="shared" si="44"/>
        <v>198920</v>
      </c>
      <c r="O71" s="97">
        <f t="shared" si="39"/>
        <v>0</v>
      </c>
      <c r="P71" s="97">
        <f t="shared" si="45"/>
        <v>198920</v>
      </c>
      <c r="Q71" s="120">
        <f t="shared" si="46"/>
        <v>845410</v>
      </c>
      <c r="R71" s="97">
        <f t="shared" si="40"/>
        <v>3356</v>
      </c>
      <c r="S71" s="97">
        <f t="shared" si="47"/>
        <v>-125849</v>
      </c>
      <c r="T71" s="97"/>
      <c r="U71" s="208">
        <v>6.5</v>
      </c>
      <c r="V71" s="195">
        <v>646490</v>
      </c>
      <c r="W71" s="209">
        <v>2</v>
      </c>
      <c r="X71" s="195">
        <v>0</v>
      </c>
      <c r="Y71" s="195">
        <v>198920</v>
      </c>
    </row>
    <row r="72" spans="1:25" ht="12.75">
      <c r="A72" s="16" t="s">
        <v>45</v>
      </c>
      <c r="B72" s="59">
        <v>0.73</v>
      </c>
      <c r="C72" s="126">
        <f t="shared" si="41"/>
        <v>72605.8</v>
      </c>
      <c r="D72" s="126">
        <v>136958</v>
      </c>
      <c r="E72" s="64">
        <v>94565</v>
      </c>
      <c r="F72" s="64">
        <v>115472</v>
      </c>
      <c r="G72" s="81">
        <v>21936</v>
      </c>
      <c r="H72" s="81">
        <v>15807</v>
      </c>
      <c r="I72" s="97">
        <f t="shared" si="42"/>
        <v>203884.8</v>
      </c>
      <c r="J72" s="97">
        <f t="shared" si="38"/>
        <v>268237</v>
      </c>
      <c r="K72" s="129">
        <v>0.68</v>
      </c>
      <c r="L72" s="97">
        <f t="shared" si="43"/>
        <v>67632.8</v>
      </c>
      <c r="M72" s="129">
        <v>2.81</v>
      </c>
      <c r="N72" s="97">
        <f t="shared" si="44"/>
        <v>279482.6</v>
      </c>
      <c r="O72" s="97">
        <f t="shared" si="39"/>
        <v>15807</v>
      </c>
      <c r="P72" s="97">
        <f t="shared" si="45"/>
        <v>263675.6</v>
      </c>
      <c r="Q72" s="120">
        <f t="shared" si="46"/>
        <v>347115.39999999997</v>
      </c>
      <c r="R72" s="97">
        <f t="shared" si="40"/>
        <v>143230.59999999998</v>
      </c>
      <c r="S72" s="97">
        <f t="shared" si="47"/>
        <v>78878.39999999997</v>
      </c>
      <c r="T72" s="97"/>
      <c r="U72" s="207">
        <v>0.68</v>
      </c>
      <c r="V72" s="195">
        <v>67632.8</v>
      </c>
      <c r="W72" s="194">
        <v>2.81</v>
      </c>
      <c r="X72" s="195">
        <v>15807</v>
      </c>
      <c r="Y72" s="195">
        <v>263676</v>
      </c>
    </row>
    <row r="73" spans="1:25" ht="12.75">
      <c r="A73" s="16" t="s">
        <v>46</v>
      </c>
      <c r="B73" s="59">
        <v>1.54</v>
      </c>
      <c r="C73" s="126">
        <f t="shared" si="41"/>
        <v>153168.4</v>
      </c>
      <c r="D73" s="126">
        <v>402080</v>
      </c>
      <c r="E73" s="64">
        <v>90404</v>
      </c>
      <c r="F73" s="64">
        <v>123357</v>
      </c>
      <c r="G73" s="81"/>
      <c r="H73" s="81"/>
      <c r="I73" s="97">
        <f t="shared" si="42"/>
        <v>276525.4</v>
      </c>
      <c r="J73" s="97">
        <f t="shared" si="38"/>
        <v>525437</v>
      </c>
      <c r="K73" s="129">
        <v>1</v>
      </c>
      <c r="L73" s="97">
        <f t="shared" si="43"/>
        <v>99460</v>
      </c>
      <c r="M73" s="129">
        <v>1</v>
      </c>
      <c r="N73" s="97">
        <f t="shared" si="44"/>
        <v>99460</v>
      </c>
      <c r="O73" s="97">
        <f t="shared" si="39"/>
        <v>0</v>
      </c>
      <c r="P73" s="97">
        <f t="shared" si="45"/>
        <v>99460</v>
      </c>
      <c r="Q73" s="120">
        <f t="shared" si="46"/>
        <v>198920</v>
      </c>
      <c r="R73" s="97">
        <f t="shared" si="40"/>
        <v>-77605.40000000002</v>
      </c>
      <c r="S73" s="97">
        <f t="shared" si="47"/>
        <v>-326517</v>
      </c>
      <c r="T73" s="97"/>
      <c r="U73" s="207">
        <v>1.51</v>
      </c>
      <c r="V73" s="195">
        <v>150185</v>
      </c>
      <c r="W73" s="194">
        <v>1</v>
      </c>
      <c r="X73" s="195">
        <v>0</v>
      </c>
      <c r="Y73" s="195">
        <v>99460</v>
      </c>
    </row>
    <row r="74" spans="1:31" s="23" customFormat="1" ht="12.75">
      <c r="A74" s="16" t="s">
        <v>47</v>
      </c>
      <c r="B74" s="59">
        <v>2.94</v>
      </c>
      <c r="C74" s="126">
        <f t="shared" si="41"/>
        <v>292412.4</v>
      </c>
      <c r="D74" s="126">
        <v>685476</v>
      </c>
      <c r="E74" s="64">
        <v>203906</v>
      </c>
      <c r="F74" s="64">
        <v>143336</v>
      </c>
      <c r="G74" s="81"/>
      <c r="H74" s="81"/>
      <c r="I74" s="97">
        <f t="shared" si="42"/>
        <v>435748.4</v>
      </c>
      <c r="J74" s="97">
        <f t="shared" si="38"/>
        <v>828812</v>
      </c>
      <c r="K74" s="129">
        <v>2.31</v>
      </c>
      <c r="L74" s="97">
        <f t="shared" si="43"/>
        <v>229752.6</v>
      </c>
      <c r="M74" s="129">
        <v>3</v>
      </c>
      <c r="N74" s="97">
        <f t="shared" si="44"/>
        <v>298380</v>
      </c>
      <c r="O74" s="97">
        <f t="shared" si="39"/>
        <v>0</v>
      </c>
      <c r="P74" s="97">
        <f t="shared" si="45"/>
        <v>298380</v>
      </c>
      <c r="Q74" s="120">
        <f t="shared" si="46"/>
        <v>528132.6</v>
      </c>
      <c r="R74" s="97">
        <f t="shared" si="40"/>
        <v>92384.19999999995</v>
      </c>
      <c r="S74" s="97">
        <f t="shared" si="47"/>
        <v>-300679.4</v>
      </c>
      <c r="T74" s="97"/>
      <c r="U74" s="207">
        <v>2.31</v>
      </c>
      <c r="V74" s="195">
        <v>229752.6</v>
      </c>
      <c r="W74" s="194">
        <v>3</v>
      </c>
      <c r="X74" s="195">
        <v>0</v>
      </c>
      <c r="Y74" s="195">
        <v>298380</v>
      </c>
      <c r="AC74"/>
      <c r="AD74"/>
      <c r="AE74" s="218"/>
    </row>
    <row r="75" spans="1:42" ht="13.5" thickBot="1">
      <c r="A75" s="22" t="s">
        <v>48</v>
      </c>
      <c r="B75" s="145">
        <v>0.08</v>
      </c>
      <c r="C75" s="126">
        <f t="shared" si="41"/>
        <v>7956.8</v>
      </c>
      <c r="D75" s="146">
        <v>293268</v>
      </c>
      <c r="E75" s="72"/>
      <c r="F75" s="72"/>
      <c r="G75" s="72"/>
      <c r="H75" s="72"/>
      <c r="I75" s="97">
        <f t="shared" si="42"/>
        <v>7956.8</v>
      </c>
      <c r="J75" s="97">
        <f t="shared" si="38"/>
        <v>293268</v>
      </c>
      <c r="K75" s="130">
        <v>0.36</v>
      </c>
      <c r="L75" s="97">
        <f t="shared" si="43"/>
        <v>35805.6</v>
      </c>
      <c r="M75" s="130">
        <v>0</v>
      </c>
      <c r="N75" s="97">
        <f t="shared" si="44"/>
        <v>0</v>
      </c>
      <c r="O75" s="97">
        <f t="shared" si="39"/>
        <v>0</v>
      </c>
      <c r="P75" s="97">
        <f t="shared" si="45"/>
        <v>0</v>
      </c>
      <c r="Q75" s="120">
        <f t="shared" si="46"/>
        <v>35805.6</v>
      </c>
      <c r="R75" s="97">
        <f t="shared" si="40"/>
        <v>27848.8</v>
      </c>
      <c r="S75" s="97">
        <f t="shared" si="47"/>
        <v>-257462.4</v>
      </c>
      <c r="T75" s="98"/>
      <c r="U75" s="208">
        <v>0.36</v>
      </c>
      <c r="V75" s="195">
        <v>35805.6</v>
      </c>
      <c r="W75" s="209">
        <v>0.65</v>
      </c>
      <c r="X75" s="195">
        <v>0</v>
      </c>
      <c r="Y75" s="195">
        <v>64649</v>
      </c>
      <c r="AP75" s="19"/>
    </row>
    <row r="76" spans="1:31" s="1" customFormat="1" ht="13.5" thickBot="1">
      <c r="A76" s="44"/>
      <c r="B76" s="61">
        <f aca="true" t="shared" si="48" ref="B76:J76">SUM(B63:B75)</f>
        <v>21.02</v>
      </c>
      <c r="C76" s="133">
        <f t="shared" si="48"/>
        <v>2090649.2</v>
      </c>
      <c r="D76" s="133">
        <f t="shared" si="48"/>
        <v>8173291</v>
      </c>
      <c r="E76" s="66">
        <f t="shared" si="48"/>
        <v>5122770</v>
      </c>
      <c r="F76" s="66">
        <f t="shared" si="48"/>
        <v>4995595</v>
      </c>
      <c r="G76" s="66">
        <f t="shared" si="48"/>
        <v>1733040</v>
      </c>
      <c r="H76" s="66">
        <f t="shared" si="48"/>
        <v>1877421</v>
      </c>
      <c r="I76" s="99">
        <f t="shared" si="48"/>
        <v>8963665.200000001</v>
      </c>
      <c r="J76" s="99">
        <f t="shared" si="48"/>
        <v>15046307</v>
      </c>
      <c r="K76" s="45">
        <f>SUM(K63:K75)</f>
        <v>19.93</v>
      </c>
      <c r="L76" s="99">
        <f aca="true" t="shared" si="49" ref="L76:R76">SUM(L63:L75)</f>
        <v>1929524.0000000002</v>
      </c>
      <c r="M76" s="45">
        <f>SUM(M63:M75)</f>
        <v>60.690000000000005</v>
      </c>
      <c r="N76" s="99">
        <f t="shared" si="49"/>
        <v>6036227.399999999</v>
      </c>
      <c r="O76" s="99">
        <f t="shared" si="49"/>
        <v>1877421</v>
      </c>
      <c r="P76" s="99">
        <f t="shared" si="49"/>
        <v>4158806.4</v>
      </c>
      <c r="Q76" s="99">
        <f t="shared" si="49"/>
        <v>7965751.399999999</v>
      </c>
      <c r="R76" s="99">
        <f t="shared" si="49"/>
        <v>-997913.8</v>
      </c>
      <c r="S76" s="99">
        <f>SUM(S63:S75)</f>
        <v>-7080555.600000001</v>
      </c>
      <c r="T76" s="99"/>
      <c r="U76" s="160">
        <f>SUM(U63:U75)</f>
        <v>19.93</v>
      </c>
      <c r="V76" s="99">
        <f>SUM(V63:V75)</f>
        <v>1982238.0000000002</v>
      </c>
      <c r="W76" s="45">
        <f>SUM(W63:W75)</f>
        <v>59.82</v>
      </c>
      <c r="X76" s="99">
        <f>SUM(X63:X75)</f>
        <v>1877421</v>
      </c>
      <c r="Y76" s="99">
        <f>SUM(Y63:Y75)</f>
        <v>4072276</v>
      </c>
      <c r="AC76"/>
      <c r="AD76"/>
      <c r="AE76" s="3"/>
    </row>
    <row r="77" spans="1:31" s="19" customFormat="1" ht="12.75">
      <c r="A77" s="10" t="s">
        <v>49</v>
      </c>
      <c r="B77" s="10"/>
      <c r="C77" s="134"/>
      <c r="D77" s="134"/>
      <c r="E77" s="67"/>
      <c r="F77" s="67"/>
      <c r="G77" s="67"/>
      <c r="H77" s="67"/>
      <c r="I77" s="100"/>
      <c r="J77" s="104"/>
      <c r="K77" s="35"/>
      <c r="L77" s="104"/>
      <c r="M77" s="35"/>
      <c r="N77" s="100"/>
      <c r="O77" s="100"/>
      <c r="P77" s="100"/>
      <c r="Q77" s="123"/>
      <c r="R77" s="104"/>
      <c r="S77" s="104"/>
      <c r="T77" s="104"/>
      <c r="U77" s="169"/>
      <c r="V77" s="104"/>
      <c r="W77" s="35"/>
      <c r="X77" s="100"/>
      <c r="Y77" s="100"/>
      <c r="AC77"/>
      <c r="AD77"/>
      <c r="AE77" s="217"/>
    </row>
    <row r="78" spans="1:31" s="19" customFormat="1" ht="12.75">
      <c r="A78" s="21" t="s">
        <v>50</v>
      </c>
      <c r="B78" s="86">
        <v>8.4</v>
      </c>
      <c r="C78" s="126">
        <f>B78*$C$5</f>
        <v>835464</v>
      </c>
      <c r="D78" s="128">
        <v>1401932</v>
      </c>
      <c r="E78" s="87">
        <v>658416</v>
      </c>
      <c r="F78" s="87">
        <v>530415</v>
      </c>
      <c r="G78" s="83">
        <v>260070</v>
      </c>
      <c r="H78" s="83">
        <v>226810</v>
      </c>
      <c r="I78" s="97">
        <f>H78+F78+C78</f>
        <v>1592689</v>
      </c>
      <c r="J78" s="97">
        <f>D78+F78+H78</f>
        <v>2159157</v>
      </c>
      <c r="K78" s="33">
        <v>3.76</v>
      </c>
      <c r="L78" s="97">
        <f>K78*$L$5</f>
        <v>373969.6</v>
      </c>
      <c r="M78" s="152">
        <v>10.48</v>
      </c>
      <c r="N78" s="111">
        <f>M78*$N$5</f>
        <v>1042340.8</v>
      </c>
      <c r="O78" s="111">
        <f>H78</f>
        <v>226810</v>
      </c>
      <c r="P78" s="111">
        <f>N78-O78</f>
        <v>815530.8</v>
      </c>
      <c r="Q78" s="120">
        <f>L78+N78</f>
        <v>1416310.4</v>
      </c>
      <c r="R78" s="97">
        <f>Q78-I78</f>
        <v>-176378.6000000001</v>
      </c>
      <c r="S78" s="97">
        <f>Q78-J78</f>
        <v>-742846.6000000001</v>
      </c>
      <c r="T78" s="97"/>
      <c r="U78" s="165">
        <v>3.76</v>
      </c>
      <c r="V78" s="97">
        <v>373969.6</v>
      </c>
      <c r="W78" s="152">
        <v>12.29</v>
      </c>
      <c r="X78" s="111">
        <v>226810</v>
      </c>
      <c r="Y78" s="111">
        <v>995553</v>
      </c>
      <c r="AC78"/>
      <c r="AD78"/>
      <c r="AE78" s="217"/>
    </row>
    <row r="79" spans="1:25" ht="12.75">
      <c r="A79" s="21" t="s">
        <v>51</v>
      </c>
      <c r="B79" s="86">
        <v>4.91</v>
      </c>
      <c r="C79" s="126">
        <f>B79*$C$5</f>
        <v>488348.60000000003</v>
      </c>
      <c r="D79" s="128">
        <v>613001</v>
      </c>
      <c r="E79" s="87">
        <v>251436</v>
      </c>
      <c r="F79" s="87">
        <v>193083</v>
      </c>
      <c r="G79" s="83">
        <v>254454</v>
      </c>
      <c r="H79" s="83">
        <v>245629</v>
      </c>
      <c r="I79" s="97">
        <f>H79+F79+C79</f>
        <v>927060.6000000001</v>
      </c>
      <c r="J79" s="97">
        <f>D79+F79+H79</f>
        <v>1051713</v>
      </c>
      <c r="K79" s="27">
        <v>2.15</v>
      </c>
      <c r="L79" s="97">
        <f>K79*$L$5</f>
        <v>213839</v>
      </c>
      <c r="M79" s="152">
        <v>6.86</v>
      </c>
      <c r="N79" s="97">
        <f>M79*$N$5</f>
        <v>682295.6</v>
      </c>
      <c r="O79" s="97">
        <f>H79</f>
        <v>245629</v>
      </c>
      <c r="P79" s="97">
        <f>N79-O79</f>
        <v>436666.6</v>
      </c>
      <c r="Q79" s="120">
        <f>L79+N79</f>
        <v>896134.6</v>
      </c>
      <c r="R79" s="97">
        <f>Q79-I79</f>
        <v>-30926.000000000116</v>
      </c>
      <c r="S79" s="97">
        <f>Q79-J79</f>
        <v>-155578.40000000002</v>
      </c>
      <c r="T79" s="97"/>
      <c r="U79" s="158">
        <v>2.15</v>
      </c>
      <c r="V79" s="97">
        <v>213839</v>
      </c>
      <c r="W79" s="152">
        <v>6.63</v>
      </c>
      <c r="X79" s="97">
        <v>245629</v>
      </c>
      <c r="Y79" s="97">
        <v>413791</v>
      </c>
    </row>
    <row r="80" spans="1:25" ht="13.5" thickBot="1">
      <c r="A80" s="14" t="s">
        <v>52</v>
      </c>
      <c r="B80" s="59">
        <v>2.43</v>
      </c>
      <c r="C80" s="126">
        <f>B80*$C$5</f>
        <v>241687.80000000002</v>
      </c>
      <c r="D80" s="126">
        <v>187883</v>
      </c>
      <c r="E80" s="64">
        <v>53207</v>
      </c>
      <c r="F80" s="95">
        <v>37086</v>
      </c>
      <c r="G80" s="80">
        <v>117180</v>
      </c>
      <c r="H80" s="80">
        <v>138277</v>
      </c>
      <c r="I80" s="97">
        <f>H80+F80+C80</f>
        <v>417050.80000000005</v>
      </c>
      <c r="J80" s="97">
        <f>D80+F80+H80</f>
        <v>363246</v>
      </c>
      <c r="K80" s="148">
        <v>0.69</v>
      </c>
      <c r="L80" s="97">
        <f>K80*$L$5</f>
        <v>68627.4</v>
      </c>
      <c r="M80" s="148">
        <v>2.45</v>
      </c>
      <c r="N80" s="97">
        <f>M80*$N$5</f>
        <v>243677.00000000003</v>
      </c>
      <c r="O80" s="97">
        <f>H80</f>
        <v>138277</v>
      </c>
      <c r="P80" s="97">
        <f>N80-O80</f>
        <v>105400.00000000003</v>
      </c>
      <c r="Q80" s="120">
        <f>L80+N80</f>
        <v>312304.4</v>
      </c>
      <c r="R80" s="97">
        <f>Q80-I80</f>
        <v>-104746.40000000002</v>
      </c>
      <c r="S80" s="97">
        <f>Q80-J80</f>
        <v>-50941.59999999998</v>
      </c>
      <c r="T80" s="97"/>
      <c r="U80" s="159">
        <v>0.69</v>
      </c>
      <c r="V80" s="97">
        <v>68627.4</v>
      </c>
      <c r="W80" s="148">
        <v>2.37</v>
      </c>
      <c r="X80" s="97">
        <v>138277</v>
      </c>
      <c r="Y80" s="97">
        <v>97443</v>
      </c>
    </row>
    <row r="81" spans="1:31" s="1" customFormat="1" ht="13.5" thickBot="1">
      <c r="A81" s="44"/>
      <c r="B81" s="61">
        <f aca="true" t="shared" si="50" ref="B81:J81">SUM(B78:B80)</f>
        <v>15.74</v>
      </c>
      <c r="C81" s="133">
        <f t="shared" si="50"/>
        <v>1565500.4000000001</v>
      </c>
      <c r="D81" s="133">
        <f t="shared" si="50"/>
        <v>2202816</v>
      </c>
      <c r="E81" s="66">
        <f t="shared" si="50"/>
        <v>963059</v>
      </c>
      <c r="F81" s="66">
        <f t="shared" si="50"/>
        <v>760584</v>
      </c>
      <c r="G81" s="66">
        <f t="shared" si="50"/>
        <v>631704</v>
      </c>
      <c r="H81" s="66">
        <f t="shared" si="50"/>
        <v>610716</v>
      </c>
      <c r="I81" s="99">
        <f t="shared" si="50"/>
        <v>2936800.4000000004</v>
      </c>
      <c r="J81" s="99">
        <f t="shared" si="50"/>
        <v>3574116</v>
      </c>
      <c r="K81" s="45">
        <f>SUM(K78:K80)</f>
        <v>6.6</v>
      </c>
      <c r="L81" s="99">
        <f aca="true" t="shared" si="51" ref="L81:R81">SUM(L78:L80)</f>
        <v>656436</v>
      </c>
      <c r="M81" s="45">
        <f>SUM(M78:M80)</f>
        <v>19.79</v>
      </c>
      <c r="N81" s="99">
        <f t="shared" si="51"/>
        <v>1968313.4</v>
      </c>
      <c r="O81" s="99">
        <f t="shared" si="51"/>
        <v>610716</v>
      </c>
      <c r="P81" s="99">
        <f t="shared" si="51"/>
        <v>1357597.4</v>
      </c>
      <c r="Q81" s="99">
        <f t="shared" si="51"/>
        <v>2624749.4</v>
      </c>
      <c r="R81" s="99">
        <f t="shared" si="51"/>
        <v>-312051.00000000023</v>
      </c>
      <c r="S81" s="99">
        <f>SUM(S78:S80)</f>
        <v>-949366.6000000001</v>
      </c>
      <c r="T81" s="99"/>
      <c r="U81" s="160">
        <f>SUM(U78:U80)</f>
        <v>6.6</v>
      </c>
      <c r="V81" s="99">
        <f>SUM(V78:V80)</f>
        <v>656436</v>
      </c>
      <c r="W81" s="45">
        <f>SUM(W78:W80)</f>
        <v>21.29</v>
      </c>
      <c r="X81" s="99">
        <f>SUM(X78:X80)</f>
        <v>610716</v>
      </c>
      <c r="Y81" s="99">
        <f>SUM(Y78:Y80)</f>
        <v>1506787</v>
      </c>
      <c r="AC81"/>
      <c r="AD81"/>
      <c r="AE81" s="3"/>
    </row>
    <row r="82" spans="1:25" ht="12.75">
      <c r="A82" s="29" t="s">
        <v>53</v>
      </c>
      <c r="B82" s="29"/>
      <c r="C82" s="131"/>
      <c r="D82" s="131"/>
      <c r="E82" s="140"/>
      <c r="F82" s="140"/>
      <c r="G82" s="67"/>
      <c r="H82" s="67"/>
      <c r="I82" s="100"/>
      <c r="J82" s="100"/>
      <c r="K82" s="35"/>
      <c r="L82" s="100"/>
      <c r="M82" s="34"/>
      <c r="N82" s="100"/>
      <c r="O82" s="100"/>
      <c r="P82" s="100"/>
      <c r="Q82" s="121"/>
      <c r="R82" s="100"/>
      <c r="S82" s="104"/>
      <c r="T82" s="104"/>
      <c r="U82" s="169"/>
      <c r="V82" s="100"/>
      <c r="W82" s="34"/>
      <c r="X82" s="100"/>
      <c r="Y82" s="100"/>
    </row>
    <row r="83" spans="1:25" ht="12.75">
      <c r="A83" s="13" t="s">
        <v>54</v>
      </c>
      <c r="B83" s="59">
        <v>9.01</v>
      </c>
      <c r="C83" s="126">
        <f>B83*$C$5</f>
        <v>896134.6</v>
      </c>
      <c r="D83" s="126">
        <v>1621487</v>
      </c>
      <c r="E83" s="64">
        <v>257341</v>
      </c>
      <c r="F83" s="141">
        <v>271482</v>
      </c>
      <c r="G83" s="139">
        <v>831344</v>
      </c>
      <c r="H83" s="83">
        <v>851176</v>
      </c>
      <c r="I83" s="97">
        <f>H83+F83+C83</f>
        <v>2018792.6</v>
      </c>
      <c r="J83" s="111">
        <f>D83+F83+H83</f>
        <v>2744145</v>
      </c>
      <c r="K83" s="27">
        <v>8.82</v>
      </c>
      <c r="L83" s="111">
        <f>K83*$L$5</f>
        <v>877237.2000000001</v>
      </c>
      <c r="M83" s="152">
        <v>24.69</v>
      </c>
      <c r="N83" s="111">
        <f>M83*$N$5</f>
        <v>2455667.4</v>
      </c>
      <c r="O83" s="111">
        <f>H83</f>
        <v>851176</v>
      </c>
      <c r="P83" s="111">
        <f>N83-O83</f>
        <v>1604491.4</v>
      </c>
      <c r="Q83" s="144">
        <f>L83+N83</f>
        <v>3332904.6</v>
      </c>
      <c r="R83" s="111">
        <f>Q83-I83</f>
        <v>1314112</v>
      </c>
      <c r="S83" s="97">
        <f>Q83-J83</f>
        <v>588759.6000000001</v>
      </c>
      <c r="T83" s="97"/>
      <c r="U83" s="158">
        <v>8.82</v>
      </c>
      <c r="V83" s="111">
        <v>877237.2</v>
      </c>
      <c r="W83" s="200">
        <f>8.56+12.75</f>
        <v>21.310000000000002</v>
      </c>
      <c r="X83" s="193">
        <v>851176</v>
      </c>
      <c r="Y83" s="193">
        <v>1268067</v>
      </c>
    </row>
    <row r="84" spans="1:25" ht="13.5" thickBot="1">
      <c r="A84" s="15" t="s">
        <v>55</v>
      </c>
      <c r="B84" s="60"/>
      <c r="C84" s="126"/>
      <c r="D84" s="127"/>
      <c r="E84" s="73">
        <v>84159</v>
      </c>
      <c r="F84" s="73">
        <v>100686</v>
      </c>
      <c r="G84" s="68">
        <v>293580</v>
      </c>
      <c r="H84" s="68">
        <v>293895</v>
      </c>
      <c r="I84" s="97">
        <f>H84+F84+C84</f>
        <v>394581</v>
      </c>
      <c r="J84" s="97">
        <f>D84+F84+H84</f>
        <v>394581</v>
      </c>
      <c r="K84" s="33"/>
      <c r="L84" s="103"/>
      <c r="M84" s="33">
        <v>3.97</v>
      </c>
      <c r="N84" s="111">
        <f>M84*$N$5</f>
        <v>394856.2</v>
      </c>
      <c r="O84" s="97">
        <f>H84</f>
        <v>293895</v>
      </c>
      <c r="P84" s="97">
        <f>N84-O84</f>
        <v>100961.20000000001</v>
      </c>
      <c r="Q84" s="120">
        <f>L84+N84</f>
        <v>394856.2</v>
      </c>
      <c r="R84" s="97">
        <f>Q84-I84</f>
        <v>275.20000000001164</v>
      </c>
      <c r="S84" s="97">
        <f>Q84-J84</f>
        <v>275.20000000001164</v>
      </c>
      <c r="T84" s="98"/>
      <c r="U84" s="165"/>
      <c r="V84" s="103"/>
      <c r="W84" s="198">
        <f>2.95+1.41</f>
        <v>4.36</v>
      </c>
      <c r="X84" s="195">
        <v>293895</v>
      </c>
      <c r="Y84" s="193">
        <v>140001</v>
      </c>
    </row>
    <row r="85" spans="1:31" s="1" customFormat="1" ht="13.5" thickBot="1">
      <c r="A85" s="44"/>
      <c r="B85" s="61">
        <f aca="true" t="shared" si="52" ref="B85:J85">SUM(B83:B84)</f>
        <v>9.01</v>
      </c>
      <c r="C85" s="133">
        <f t="shared" si="52"/>
        <v>896134.6</v>
      </c>
      <c r="D85" s="133">
        <f t="shared" si="52"/>
        <v>1621487</v>
      </c>
      <c r="E85" s="66">
        <f t="shared" si="52"/>
        <v>341500</v>
      </c>
      <c r="F85" s="66">
        <f t="shared" si="52"/>
        <v>372168</v>
      </c>
      <c r="G85" s="66">
        <f t="shared" si="52"/>
        <v>1124924</v>
      </c>
      <c r="H85" s="66">
        <f t="shared" si="52"/>
        <v>1145071</v>
      </c>
      <c r="I85" s="99">
        <f t="shared" si="52"/>
        <v>2413373.6</v>
      </c>
      <c r="J85" s="99">
        <f t="shared" si="52"/>
        <v>3138726</v>
      </c>
      <c r="K85" s="45">
        <f>SUM(K83:K84)</f>
        <v>8.82</v>
      </c>
      <c r="L85" s="99">
        <f aca="true" t="shared" si="53" ref="L85:R85">SUM(L83:L84)</f>
        <v>877237.2000000001</v>
      </c>
      <c r="M85" s="45">
        <f>SUM(M83:M84)</f>
        <v>28.66</v>
      </c>
      <c r="N85" s="99">
        <f t="shared" si="53"/>
        <v>2850523.6</v>
      </c>
      <c r="O85" s="99">
        <f t="shared" si="53"/>
        <v>1145071</v>
      </c>
      <c r="P85" s="99">
        <f t="shared" si="53"/>
        <v>1705452.5999999999</v>
      </c>
      <c r="Q85" s="99">
        <f t="shared" si="53"/>
        <v>3727760.8000000003</v>
      </c>
      <c r="R85" s="99">
        <f t="shared" si="53"/>
        <v>1314387.2</v>
      </c>
      <c r="S85" s="99">
        <f>SUM(S83:S84)</f>
        <v>589034.8</v>
      </c>
      <c r="T85" s="99"/>
      <c r="U85" s="160">
        <f>SUM(U83:U84)</f>
        <v>8.82</v>
      </c>
      <c r="V85" s="99">
        <f>SUM(V83:V84)</f>
        <v>877237.2</v>
      </c>
      <c r="W85" s="45">
        <f>SUM(W83:W84)</f>
        <v>25.67</v>
      </c>
      <c r="X85" s="99">
        <f>SUM(X83:X84)</f>
        <v>1145071</v>
      </c>
      <c r="Y85" s="99">
        <f>SUM(Y83:Y84)</f>
        <v>1408068</v>
      </c>
      <c r="AC85"/>
      <c r="AD85"/>
      <c r="AE85" s="3"/>
    </row>
    <row r="86" spans="1:31" s="19" customFormat="1" ht="12.75">
      <c r="A86" s="10" t="s">
        <v>56</v>
      </c>
      <c r="B86" s="10"/>
      <c r="C86" s="134"/>
      <c r="D86" s="134"/>
      <c r="E86" s="67"/>
      <c r="F86" s="67"/>
      <c r="G86" s="67"/>
      <c r="H86" s="67"/>
      <c r="I86" s="100"/>
      <c r="J86" s="104"/>
      <c r="K86" s="151"/>
      <c r="L86" s="100"/>
      <c r="M86" s="34"/>
      <c r="N86" s="100"/>
      <c r="O86" s="100"/>
      <c r="P86" s="100"/>
      <c r="Q86" s="123"/>
      <c r="R86" s="104"/>
      <c r="S86" s="104"/>
      <c r="T86" s="104"/>
      <c r="U86" s="166"/>
      <c r="V86" s="100"/>
      <c r="W86" s="34"/>
      <c r="X86" s="100"/>
      <c r="Y86" s="100"/>
      <c r="AC86"/>
      <c r="AD86"/>
      <c r="AE86" s="217"/>
    </row>
    <row r="87" spans="1:31" s="19" customFormat="1" ht="12.75">
      <c r="A87" s="21" t="s">
        <v>57</v>
      </c>
      <c r="B87" s="86">
        <v>1.15</v>
      </c>
      <c r="C87" s="126">
        <f>B87*$C$5</f>
        <v>114378.99999999999</v>
      </c>
      <c r="D87" s="128">
        <v>211718</v>
      </c>
      <c r="E87" s="87">
        <v>318379</v>
      </c>
      <c r="F87" s="87">
        <v>303564</v>
      </c>
      <c r="G87" s="83">
        <v>48816</v>
      </c>
      <c r="H87" s="83">
        <v>45766</v>
      </c>
      <c r="I87" s="97">
        <f>H87+F87+C87</f>
        <v>463709</v>
      </c>
      <c r="J87" s="97">
        <f>D87+F87+H87</f>
        <v>561048</v>
      </c>
      <c r="K87" s="33">
        <v>0.83</v>
      </c>
      <c r="L87" s="111">
        <f>K87*$L$5</f>
        <v>82551.8</v>
      </c>
      <c r="M87" s="152">
        <v>2.88</v>
      </c>
      <c r="N87" s="111">
        <f>M87*$N$5</f>
        <v>286444.8</v>
      </c>
      <c r="O87" s="111">
        <f>H87</f>
        <v>45766</v>
      </c>
      <c r="P87" s="111">
        <f>N87-O87</f>
        <v>240678.8</v>
      </c>
      <c r="Q87" s="120">
        <f>L87+N87</f>
        <v>368996.6</v>
      </c>
      <c r="R87" s="97">
        <f>Q87-I87</f>
        <v>-94712.40000000002</v>
      </c>
      <c r="S87" s="97">
        <f>Q87-J87</f>
        <v>-192051.40000000002</v>
      </c>
      <c r="T87" s="97"/>
      <c r="U87" s="165">
        <v>0.83</v>
      </c>
      <c r="V87" s="111">
        <v>82551.8</v>
      </c>
      <c r="W87" s="152">
        <v>2.98</v>
      </c>
      <c r="X87" s="111">
        <v>45766</v>
      </c>
      <c r="Y87" s="111">
        <v>250625</v>
      </c>
      <c r="AC87"/>
      <c r="AD87"/>
      <c r="AE87" s="217"/>
    </row>
    <row r="88" spans="1:25" ht="12.75">
      <c r="A88" s="21" t="s">
        <v>58</v>
      </c>
      <c r="B88" s="86">
        <v>0.87</v>
      </c>
      <c r="C88" s="126">
        <f>B88*$C$5</f>
        <v>86530.2</v>
      </c>
      <c r="D88" s="128">
        <v>354195</v>
      </c>
      <c r="E88" s="87">
        <v>142482</v>
      </c>
      <c r="F88" s="87">
        <v>133479</v>
      </c>
      <c r="G88" s="83">
        <v>122184</v>
      </c>
      <c r="H88" s="83">
        <v>131965</v>
      </c>
      <c r="I88" s="97">
        <f>H88+F88+C88</f>
        <v>351974.2</v>
      </c>
      <c r="J88" s="97">
        <f>D88+F88+H88</f>
        <v>619639</v>
      </c>
      <c r="K88" s="27">
        <v>0.96</v>
      </c>
      <c r="L88" s="97">
        <f>K88*$L$5</f>
        <v>95481.59999999999</v>
      </c>
      <c r="M88" s="152">
        <v>3.41</v>
      </c>
      <c r="N88" s="97">
        <f>M88*$N$5</f>
        <v>339158.60000000003</v>
      </c>
      <c r="O88" s="97">
        <f>H88</f>
        <v>131965</v>
      </c>
      <c r="P88" s="97">
        <f>N88-O88</f>
        <v>207193.60000000003</v>
      </c>
      <c r="Q88" s="120">
        <f>L88+N88</f>
        <v>434640.2</v>
      </c>
      <c r="R88" s="97">
        <f>Q88-I88</f>
        <v>82666</v>
      </c>
      <c r="S88" s="97">
        <f>Q88-J88</f>
        <v>-184998.8</v>
      </c>
      <c r="T88" s="97"/>
      <c r="U88" s="158">
        <v>0.96</v>
      </c>
      <c r="V88" s="97">
        <v>95481.6</v>
      </c>
      <c r="W88" s="152">
        <v>3.75</v>
      </c>
      <c r="X88" s="97">
        <v>131965</v>
      </c>
      <c r="Y88" s="97">
        <v>241010</v>
      </c>
    </row>
    <row r="89" spans="1:25" ht="12.75">
      <c r="A89" s="13" t="s">
        <v>59</v>
      </c>
      <c r="B89" s="59">
        <v>0.94</v>
      </c>
      <c r="C89" s="126">
        <f>B89*$C$5</f>
        <v>93492.4</v>
      </c>
      <c r="D89" s="126">
        <v>202082</v>
      </c>
      <c r="E89" s="64">
        <v>91427</v>
      </c>
      <c r="F89" s="64">
        <v>70434</v>
      </c>
      <c r="G89" s="69">
        <v>92712</v>
      </c>
      <c r="H89" s="69">
        <v>95460</v>
      </c>
      <c r="I89" s="97">
        <f>H89+F89+C89</f>
        <v>259386.4</v>
      </c>
      <c r="J89" s="97">
        <f>D89+F89+H89</f>
        <v>367976</v>
      </c>
      <c r="K89" s="27">
        <v>0.76</v>
      </c>
      <c r="L89" s="97">
        <f>K89*$L$5</f>
        <v>75589.6</v>
      </c>
      <c r="M89" s="129">
        <v>1.88</v>
      </c>
      <c r="N89" s="97">
        <f>M89*$N$5</f>
        <v>186984.8</v>
      </c>
      <c r="O89" s="97">
        <f>H89</f>
        <v>95460</v>
      </c>
      <c r="P89" s="97">
        <f>N89-O89</f>
        <v>91524.79999999999</v>
      </c>
      <c r="Q89" s="120">
        <f>L89+N89</f>
        <v>262574.4</v>
      </c>
      <c r="R89" s="97">
        <f>Q89-I89</f>
        <v>3188.000000000029</v>
      </c>
      <c r="S89" s="97">
        <f>Q89-J89</f>
        <v>-105401.59999999998</v>
      </c>
      <c r="T89" s="97"/>
      <c r="U89" s="158">
        <v>0.76</v>
      </c>
      <c r="V89" s="97">
        <v>75589.6</v>
      </c>
      <c r="W89" s="194">
        <f>0.96+0.9</f>
        <v>1.8599999999999999</v>
      </c>
      <c r="X89" s="195">
        <v>95460</v>
      </c>
      <c r="Y89" s="195">
        <v>89525</v>
      </c>
    </row>
    <row r="90" spans="1:25" ht="12.75">
      <c r="A90" s="13" t="s">
        <v>60</v>
      </c>
      <c r="B90" s="59">
        <v>3.22</v>
      </c>
      <c r="C90" s="126">
        <f>B90*$C$5</f>
        <v>320261.2</v>
      </c>
      <c r="D90" s="126">
        <v>916586</v>
      </c>
      <c r="E90" s="64">
        <v>330404</v>
      </c>
      <c r="F90" s="64">
        <v>399231</v>
      </c>
      <c r="G90" s="69">
        <v>313157</v>
      </c>
      <c r="H90" s="69">
        <v>280465</v>
      </c>
      <c r="I90" s="97">
        <f>H90+F90+C90</f>
        <v>999957.2</v>
      </c>
      <c r="J90" s="97">
        <f>D90+F90+H90</f>
        <v>1596282</v>
      </c>
      <c r="K90" s="27">
        <v>3.16</v>
      </c>
      <c r="L90" s="97">
        <f>K90*$L$5</f>
        <v>314293.60000000003</v>
      </c>
      <c r="M90" s="129">
        <v>9.98</v>
      </c>
      <c r="N90" s="97">
        <f>M90*$N$5</f>
        <v>992610.8</v>
      </c>
      <c r="O90" s="97">
        <f>H90</f>
        <v>280465</v>
      </c>
      <c r="P90" s="97">
        <f>N90-O90</f>
        <v>712145.8</v>
      </c>
      <c r="Q90" s="120">
        <f>L90+N90</f>
        <v>1306904.4000000001</v>
      </c>
      <c r="R90" s="97">
        <f>Q90-I90</f>
        <v>306947.2000000002</v>
      </c>
      <c r="S90" s="97">
        <f>Q90-J90</f>
        <v>-289377.59999999986</v>
      </c>
      <c r="T90" s="97"/>
      <c r="U90" s="158">
        <v>3.16</v>
      </c>
      <c r="V90" s="97">
        <v>314293.6</v>
      </c>
      <c r="W90" s="194">
        <f>2.82+6.93</f>
        <v>9.75</v>
      </c>
      <c r="X90" s="195">
        <v>280465</v>
      </c>
      <c r="Y90" s="195">
        <v>689270</v>
      </c>
    </row>
    <row r="91" spans="1:31" s="19" customFormat="1" ht="12.75">
      <c r="A91" s="181" t="s">
        <v>62</v>
      </c>
      <c r="B91" s="182"/>
      <c r="C91" s="183"/>
      <c r="D91" s="184"/>
      <c r="E91" s="185">
        <v>411144</v>
      </c>
      <c r="F91" s="185">
        <v>521811</v>
      </c>
      <c r="G91" s="186"/>
      <c r="H91" s="186"/>
      <c r="I91" s="187">
        <f>H91+F91+C91</f>
        <v>521811</v>
      </c>
      <c r="J91" s="187">
        <f>D91+F91+H91</f>
        <v>521811</v>
      </c>
      <c r="K91" s="188"/>
      <c r="L91" s="187"/>
      <c r="M91" s="189">
        <v>1.41</v>
      </c>
      <c r="N91" s="187">
        <f>M91*$N$5</f>
        <v>140238.6</v>
      </c>
      <c r="O91" s="187">
        <f>H91</f>
        <v>0</v>
      </c>
      <c r="P91" s="187">
        <f>N91-O91</f>
        <v>140238.6</v>
      </c>
      <c r="Q91" s="190">
        <f>L91+N91</f>
        <v>140238.6</v>
      </c>
      <c r="R91" s="187">
        <f>Q91-I91</f>
        <v>-381572.4</v>
      </c>
      <c r="S91" s="187">
        <f>Q91-J91</f>
        <v>-381572.4</v>
      </c>
      <c r="T91" s="187"/>
      <c r="U91" s="191"/>
      <c r="V91" s="187"/>
      <c r="W91" s="210">
        <v>1.5</v>
      </c>
      <c r="X91" s="211">
        <v>0</v>
      </c>
      <c r="Y91" s="211">
        <v>149190</v>
      </c>
      <c r="AC91"/>
      <c r="AD91"/>
      <c r="AE91" s="217"/>
    </row>
    <row r="92" spans="1:31" s="19" customFormat="1" ht="12.75">
      <c r="A92" s="181" t="s">
        <v>120</v>
      </c>
      <c r="B92" s="182"/>
      <c r="C92" s="183"/>
      <c r="D92" s="184"/>
      <c r="E92" s="185"/>
      <c r="F92" s="185"/>
      <c r="G92" s="186"/>
      <c r="H92" s="186"/>
      <c r="I92" s="187"/>
      <c r="J92" s="187"/>
      <c r="K92" s="188"/>
      <c r="L92" s="187"/>
      <c r="M92" s="189"/>
      <c r="N92" s="187"/>
      <c r="O92" s="187"/>
      <c r="P92" s="187"/>
      <c r="Q92" s="190"/>
      <c r="R92" s="187"/>
      <c r="S92" s="187"/>
      <c r="T92" s="187"/>
      <c r="U92" s="191"/>
      <c r="V92" s="187"/>
      <c r="W92" s="210">
        <f>0.25+0.25</f>
        <v>0.5</v>
      </c>
      <c r="X92" s="211">
        <v>24865</v>
      </c>
      <c r="Y92" s="211">
        <v>24865</v>
      </c>
      <c r="AC92"/>
      <c r="AD92"/>
      <c r="AE92" s="217"/>
    </row>
    <row r="93" spans="1:31" s="19" customFormat="1" ht="12.75">
      <c r="A93" s="181" t="s">
        <v>121</v>
      </c>
      <c r="B93" s="182"/>
      <c r="C93" s="183"/>
      <c r="D93" s="184"/>
      <c r="E93" s="185"/>
      <c r="F93" s="185"/>
      <c r="G93" s="186"/>
      <c r="H93" s="186"/>
      <c r="I93" s="187"/>
      <c r="J93" s="187"/>
      <c r="K93" s="188"/>
      <c r="L93" s="187"/>
      <c r="M93" s="189"/>
      <c r="N93" s="187"/>
      <c r="O93" s="187"/>
      <c r="P93" s="187"/>
      <c r="Q93" s="190"/>
      <c r="R93" s="187"/>
      <c r="S93" s="187"/>
      <c r="T93" s="187"/>
      <c r="U93" s="191"/>
      <c r="V93" s="187"/>
      <c r="W93" s="210">
        <v>0.02</v>
      </c>
      <c r="X93" s="211"/>
      <c r="Y93" s="211">
        <v>2000</v>
      </c>
      <c r="AC93"/>
      <c r="AD93"/>
      <c r="AE93" s="217"/>
    </row>
    <row r="94" spans="1:31" s="58" customFormat="1" ht="13.5" thickBot="1">
      <c r="A94" s="176"/>
      <c r="B94" s="177">
        <f aca="true" t="shared" si="54" ref="B94:J94">SUM(B87:B91)</f>
        <v>6.18</v>
      </c>
      <c r="C94" s="178">
        <f t="shared" si="54"/>
        <v>614662.8</v>
      </c>
      <c r="D94" s="178">
        <f t="shared" si="54"/>
        <v>1684581</v>
      </c>
      <c r="E94" s="179">
        <f t="shared" si="54"/>
        <v>1293836</v>
      </c>
      <c r="F94" s="179">
        <f t="shared" si="54"/>
        <v>1428519</v>
      </c>
      <c r="G94" s="179">
        <f t="shared" si="54"/>
        <v>576869</v>
      </c>
      <c r="H94" s="179">
        <f t="shared" si="54"/>
        <v>553656</v>
      </c>
      <c r="I94" s="109">
        <f t="shared" si="54"/>
        <v>2596837.8</v>
      </c>
      <c r="J94" s="109">
        <f t="shared" si="54"/>
        <v>3666756</v>
      </c>
      <c r="K94" s="155">
        <f>SUM(K87:K91)</f>
        <v>5.71</v>
      </c>
      <c r="L94" s="109">
        <f aca="true" t="shared" si="55" ref="L94:R94">SUM(L87:L91)</f>
        <v>567916.6000000001</v>
      </c>
      <c r="M94" s="155">
        <f>SUM(M87:M91)</f>
        <v>19.56</v>
      </c>
      <c r="N94" s="109">
        <f t="shared" si="55"/>
        <v>1945437.6</v>
      </c>
      <c r="O94" s="109">
        <f t="shared" si="55"/>
        <v>553656</v>
      </c>
      <c r="P94" s="109">
        <f t="shared" si="55"/>
        <v>1391781.6</v>
      </c>
      <c r="Q94" s="109">
        <f t="shared" si="55"/>
        <v>2513354.2000000007</v>
      </c>
      <c r="R94" s="109">
        <f t="shared" si="55"/>
        <v>-83483.59999999986</v>
      </c>
      <c r="S94" s="109">
        <f>SUM(S87:S91)</f>
        <v>-1153401.7999999998</v>
      </c>
      <c r="T94" s="109"/>
      <c r="U94" s="180">
        <f>SUM(U87:U91)</f>
        <v>5.71</v>
      </c>
      <c r="V94" s="109">
        <f>SUM(V87:V91)</f>
        <v>567916.6</v>
      </c>
      <c r="W94" s="155">
        <f>SUM(W87:W93)</f>
        <v>20.36</v>
      </c>
      <c r="X94" s="109">
        <f>SUM(X87:X93)</f>
        <v>578521</v>
      </c>
      <c r="Y94" s="109">
        <f>SUM(Y87:Y93)</f>
        <v>1446485</v>
      </c>
      <c r="AC94"/>
      <c r="AD94"/>
      <c r="AE94" s="84"/>
    </row>
    <row r="95" spans="1:26" ht="13.5" thickBot="1">
      <c r="A95" s="24" t="s">
        <v>61</v>
      </c>
      <c r="B95" s="62">
        <f aca="true" t="shared" si="56" ref="B95:J95">B16+B21+B39+B48+B53+B61+B76+B81+B85+B94</f>
        <v>157.17999999999998</v>
      </c>
      <c r="C95" s="105">
        <f t="shared" si="56"/>
        <v>15633122.799999999</v>
      </c>
      <c r="D95" s="24">
        <f t="shared" si="56"/>
        <v>29505971</v>
      </c>
      <c r="E95" s="24">
        <f t="shared" si="56"/>
        <v>10595617</v>
      </c>
      <c r="F95" s="24">
        <f t="shared" si="56"/>
        <v>10599521</v>
      </c>
      <c r="G95" s="24">
        <f t="shared" si="56"/>
        <v>12485422</v>
      </c>
      <c r="H95" s="24">
        <f t="shared" si="56"/>
        <v>11844482</v>
      </c>
      <c r="I95" s="24">
        <f t="shared" si="56"/>
        <v>38077125.8</v>
      </c>
      <c r="J95" s="24">
        <f t="shared" si="56"/>
        <v>51949974</v>
      </c>
      <c r="K95" s="62">
        <f>K16+K21+K39+K48+K53+K61+K76+K81+K85+K94</f>
        <v>104.06999999999998</v>
      </c>
      <c r="L95" s="24">
        <f aca="true" t="shared" si="57" ref="L95:S95">L16+L21+L39+L48+L53+L61+L76+L81+L85+L94</f>
        <v>10298088.399999997</v>
      </c>
      <c r="M95" s="62">
        <f>M16+M21+M39+M48+M53+M61+M76+M81+M85+M94</f>
        <v>324.3400000000001</v>
      </c>
      <c r="N95" s="105">
        <f t="shared" si="57"/>
        <v>32258856.4</v>
      </c>
      <c r="O95" s="24">
        <f t="shared" si="57"/>
        <v>11844482</v>
      </c>
      <c r="P95" s="24">
        <f t="shared" si="57"/>
        <v>20414374.400000002</v>
      </c>
      <c r="Q95" s="24">
        <f t="shared" si="57"/>
        <v>42556944.8</v>
      </c>
      <c r="R95" s="24">
        <f t="shared" si="57"/>
        <v>4479819</v>
      </c>
      <c r="S95" s="24">
        <f t="shared" si="57"/>
        <v>-9393029.200000001</v>
      </c>
      <c r="T95" s="24"/>
      <c r="U95" s="170">
        <f>U16+U21+U39+U48+U53+U61+U76+U81+U85+U94</f>
        <v>104.16999999999997</v>
      </c>
      <c r="V95" s="24">
        <f>V16+V21+V39+V48+V53+V61+V76+V81+V85+V94</f>
        <v>10360748.2</v>
      </c>
      <c r="W95" s="62">
        <f>W16+W21+W39+W48+W53+W61+W76+W81+W85+W94</f>
        <v>319.11000000000007</v>
      </c>
      <c r="X95" s="24">
        <f>X16+X21+X39+X48+X53+X61+X76+X81+X85+X94</f>
        <v>11757309</v>
      </c>
      <c r="Y95" s="24">
        <f>Y16+Y21+Y39+Y48+Y53+Y61+Y76+Y81+Y85+Y94</f>
        <v>19980539</v>
      </c>
      <c r="Z95" s="25"/>
    </row>
    <row r="98" ht="12.75">
      <c r="Z98" s="25"/>
    </row>
    <row r="100" spans="5:31" s="46" customFormat="1" ht="12.75">
      <c r="E100" s="55"/>
      <c r="F100" s="55"/>
      <c r="G100" s="56"/>
      <c r="H100" s="56"/>
      <c r="I100" s="57"/>
      <c r="J100" s="57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AE100" s="57"/>
    </row>
    <row r="101" spans="5:31" s="46" customFormat="1" ht="12.75">
      <c r="E101" s="55"/>
      <c r="F101" s="55"/>
      <c r="G101" s="56"/>
      <c r="H101" s="56"/>
      <c r="I101" s="57"/>
      <c r="J101" s="57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AE101" s="57"/>
    </row>
    <row r="102" spans="1:25" ht="12.75">
      <c r="A102" s="46"/>
      <c r="B102" s="28"/>
      <c r="C102" s="28"/>
      <c r="D102" s="28"/>
      <c r="E102" s="54"/>
      <c r="F102" s="54"/>
      <c r="G102" s="31"/>
      <c r="H102" s="31"/>
      <c r="I102" s="32"/>
      <c r="J102" s="32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2.75">
      <c r="A103" s="46"/>
      <c r="B103" s="28"/>
      <c r="C103" s="28"/>
      <c r="D103" s="28"/>
      <c r="E103" s="54"/>
      <c r="F103" s="54"/>
      <c r="G103" s="31"/>
      <c r="H103" s="31"/>
      <c r="I103" s="32"/>
      <c r="J103" s="32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ht="12.75">
      <c r="A104" s="28"/>
    </row>
    <row r="105" ht="12.75">
      <c r="A105" s="28"/>
    </row>
  </sheetData>
  <sheetProtection/>
  <printOptions/>
  <pageMargins left="0.7480314960629921" right="0.7480314960629921" top="0.35433070866141736" bottom="0.35433070866141736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6" sqref="N36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janez jeromen</cp:lastModifiedBy>
  <cp:lastPrinted>2013-03-15T10:54:21Z</cp:lastPrinted>
  <dcterms:created xsi:type="dcterms:W3CDTF">2009-03-18T14:26:51Z</dcterms:created>
  <dcterms:modified xsi:type="dcterms:W3CDTF">2013-04-23T12:31:49Z</dcterms:modified>
  <cp:category/>
  <cp:version/>
  <cp:contentType/>
  <cp:contentStatus/>
</cp:coreProperties>
</file>