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780" tabRatio="599" activeTab="4"/>
  </bookViews>
  <sheets>
    <sheet name="2a 2009" sheetId="1" r:id="rId1"/>
    <sheet name="2b 2009" sheetId="2" r:id="rId2"/>
    <sheet name="2c  CSG 2009" sheetId="3" r:id="rId3"/>
    <sheet name="2d IZLAKE" sheetId="4" r:id="rId4"/>
    <sheet name="2e ZARJA,KORAK,NAPREJ 2009" sheetId="5" r:id="rId5"/>
  </sheets>
  <definedNames>
    <definedName name="_xlnm.Print_Area" localSheetId="1">'2b 2009'!$A$1:$Z$43</definedName>
    <definedName name="_xlnm.Print_Area" localSheetId="3">'2d IZLAKE'!$A$1:$W$11</definedName>
    <definedName name="_xlnm.Print_Area" localSheetId="4">'2e ZARJA,KORAK,NAPREJ 2009'!$A$1:$Z$38</definedName>
    <definedName name="_xlnm.Print_Titles" localSheetId="4">'2e ZARJA,KORAK,NAPREJ 2009'!$A:$A</definedName>
  </definedNames>
  <calcPr fullCalcOnLoad="1"/>
</workbook>
</file>

<file path=xl/sharedStrings.xml><?xml version="1.0" encoding="utf-8"?>
<sst xmlns="http://schemas.openxmlformats.org/spreadsheetml/2006/main" count="508" uniqueCount="186">
  <si>
    <t>prispevki</t>
  </si>
  <si>
    <t>dodatki na delavca iz ur</t>
  </si>
  <si>
    <t>1. NORMATIV DELA ZA STORITEV "DAN ZDRAVSTVENE NEGE" V DOMOVIH ZA STAREJŠE</t>
  </si>
  <si>
    <t>NEGA I</t>
  </si>
  <si>
    <t>dogovor 98</t>
  </si>
  <si>
    <t>ŠTEVILO POSTELJ</t>
  </si>
  <si>
    <t>št.delavcev na posteljo</t>
  </si>
  <si>
    <t>EED</t>
  </si>
  <si>
    <t>1 tehnik zdravstvene nege na 30 postelj</t>
  </si>
  <si>
    <t>1 bolničar-negovalec na 16,18 postelj</t>
  </si>
  <si>
    <t>1 strežnica na 25,50 postelj</t>
  </si>
  <si>
    <t>1 zdravnik specialist na 2.000 postelj</t>
  </si>
  <si>
    <t>SKUPAJ</t>
  </si>
  <si>
    <t>NEGA II</t>
  </si>
  <si>
    <t xml:space="preserve">št.delavcev na posteljo </t>
  </si>
  <si>
    <t>1 tehnik zdravstvene nege na 20 postelj</t>
  </si>
  <si>
    <t>1 bolničar-negovalec na 9,08 postelj</t>
  </si>
  <si>
    <t>1 strežnica na 36,36 postelj</t>
  </si>
  <si>
    <t>NEGA III</t>
  </si>
  <si>
    <t>1 tehnik zdravstvene nege na 10 postelj</t>
  </si>
  <si>
    <t>1 bolničar-negovalec na 7,12 postelj</t>
  </si>
  <si>
    <t>I. SPLOŠNI SOCIALNI ZAVODI - tip A</t>
  </si>
  <si>
    <t>ŠT.STORITEV</t>
  </si>
  <si>
    <t>ŠT.DELAVCEV</t>
  </si>
  <si>
    <t>DODATEK</t>
  </si>
  <si>
    <t>ČISTI MS</t>
  </si>
  <si>
    <t>AM/STOR</t>
  </si>
  <si>
    <t xml:space="preserve">OSNOVNE </t>
  </si>
  <si>
    <t>SREDSTVA ZA</t>
  </si>
  <si>
    <t>PLAČE</t>
  </si>
  <si>
    <t>MS</t>
  </si>
  <si>
    <t>SKUPAJ MS</t>
  </si>
  <si>
    <t>AMORTIZ.</t>
  </si>
  <si>
    <t>PRISPEVKI</t>
  </si>
  <si>
    <t>SKLAD SP</t>
  </si>
  <si>
    <t>PREMIJA DKPZ</t>
  </si>
  <si>
    <t xml:space="preserve">CENA </t>
  </si>
  <si>
    <t>LETNI FINANČNI NAČRT</t>
  </si>
  <si>
    <t>IZ UR</t>
  </si>
  <si>
    <t>DEL.DOBA</t>
  </si>
  <si>
    <t>POG.DELA</t>
  </si>
  <si>
    <t>USPEŠ.</t>
  </si>
  <si>
    <t>NA STORITEV</t>
  </si>
  <si>
    <t>DODATEK NA</t>
  </si>
  <si>
    <t xml:space="preserve">POSEBNE </t>
  </si>
  <si>
    <t>BRUTO</t>
  </si>
  <si>
    <t>ČISTI</t>
  </si>
  <si>
    <t>CENE</t>
  </si>
  <si>
    <t>STORITVE</t>
  </si>
  <si>
    <t>DEL. DOBO</t>
  </si>
  <si>
    <t>POGOJE DELA</t>
  </si>
  <si>
    <t>DEL.USPEŠNOST</t>
  </si>
  <si>
    <t>11+12</t>
  </si>
  <si>
    <t>% BOD</t>
  </si>
  <si>
    <t>NA DELAVCA</t>
  </si>
  <si>
    <t>1</t>
  </si>
  <si>
    <t>2</t>
  </si>
  <si>
    <t>3</t>
  </si>
  <si>
    <t>4</t>
  </si>
  <si>
    <t>5</t>
  </si>
  <si>
    <t>6</t>
  </si>
  <si>
    <t>7</t>
  </si>
  <si>
    <t>14</t>
  </si>
  <si>
    <t>15</t>
  </si>
  <si>
    <t>16</t>
  </si>
  <si>
    <t>17</t>
  </si>
  <si>
    <t xml:space="preserve">Skupaj kalkulativna podlaga </t>
  </si>
  <si>
    <t>a) zdravstvena nega I</t>
  </si>
  <si>
    <t>b) zdravstvena nega II</t>
  </si>
  <si>
    <t>c) zdravstvena nega III</t>
  </si>
  <si>
    <t>II. POSEBNE ENOTE V SPLOŠNIH SOCIALNOVARSTVENIH ZAVODIH - tip B</t>
  </si>
  <si>
    <t>izhodišča za cene dec. 2003:</t>
  </si>
  <si>
    <t>plača</t>
  </si>
  <si>
    <t>plača*12</t>
  </si>
  <si>
    <t xml:space="preserve">valorizacija MS </t>
  </si>
  <si>
    <t>valorizacija AM</t>
  </si>
  <si>
    <t>sklad skupne porabe</t>
  </si>
  <si>
    <t>premije KDPZ</t>
  </si>
  <si>
    <t>uspešnost</t>
  </si>
  <si>
    <t>minulo delo</t>
  </si>
  <si>
    <t xml:space="preserve"> ŠTEVILO DELAVCEV </t>
  </si>
  <si>
    <t xml:space="preserve"> STROKOVNI PROFIL </t>
  </si>
  <si>
    <t>CKSG Portorož</t>
  </si>
  <si>
    <t>Zavod za gluhe in nagl.Ljubljana</t>
  </si>
  <si>
    <t>CUSGM Maribor</t>
  </si>
  <si>
    <t xml:space="preserve"> Skupaj </t>
  </si>
  <si>
    <t>ŠTEVILO STORITEV NA TERAPEVTA</t>
  </si>
  <si>
    <t>PROGRAM ZA OTROKE</t>
  </si>
  <si>
    <t>PROGRAM ZA ODRASLE</t>
  </si>
  <si>
    <t>PROGRAM ZA OTROKE IN ODRASLE SKUPAJ</t>
  </si>
  <si>
    <t>SREDSTVA DSPZ</t>
  </si>
  <si>
    <t>kto 104 021</t>
  </si>
  <si>
    <t xml:space="preserve"> dnevno varstvo  249*43</t>
  </si>
  <si>
    <t>a) dnevno varstvo za 35 oseb</t>
  </si>
  <si>
    <t xml:space="preserve"> - dnevno varstvo 249*8</t>
  </si>
  <si>
    <t xml:space="preserve">  - domsko varstvo  116*8</t>
  </si>
  <si>
    <t xml:space="preserve">b) domsko in dnevno varstvo za 8 oseb </t>
  </si>
  <si>
    <t>1 dipl. fizioterapevt/višji fizioterapevt na 250 postelj</t>
  </si>
  <si>
    <t>1 diplomirana med.sestra/višja med.sestra na 245 postelj</t>
  </si>
  <si>
    <t>1 dipl. del. terapevt/ višji del. terapevt na 300 postelj</t>
  </si>
  <si>
    <t>1 dipl. fizioterapevt/višji fizioterapevt na 95 postelj</t>
  </si>
  <si>
    <t>1 diplomirana med.sestra/višja med.sestra na 150 postelj</t>
  </si>
  <si>
    <t>1 dipl. del. terapevt/ višji del. terapevt na 270 postelj</t>
  </si>
  <si>
    <t>1 dipl. fizioterapevt/višji fizioterapevt na 150 postelj</t>
  </si>
  <si>
    <t>1 diplomirana med.sestra/višja med.sestra na 30 postelj</t>
  </si>
  <si>
    <t>1 dipl. del. terapevt/ višji del. terapevt na 100 postelj</t>
  </si>
  <si>
    <t>ZAVOD ZARJA</t>
  </si>
  <si>
    <t xml:space="preserve">ZAVOD KORAK  dnevno varstvo za 11 oseb </t>
  </si>
  <si>
    <t xml:space="preserve">   </t>
  </si>
  <si>
    <t>zdravnik spec. ped.</t>
  </si>
  <si>
    <t>klinični psiholog, klinični logoped</t>
  </si>
  <si>
    <t>diplomirana medicinska sestra</t>
  </si>
  <si>
    <t>elektronik -akustik</t>
  </si>
  <si>
    <t>tehnik zdravstvene nege</t>
  </si>
  <si>
    <t>upravno tehnični delavci</t>
  </si>
  <si>
    <t>zdravnik spec. ORL, foniater</t>
  </si>
  <si>
    <t>delovni terapevt</t>
  </si>
  <si>
    <t>fizioterapevt</t>
  </si>
  <si>
    <t>PLAN 2008</t>
  </si>
  <si>
    <t>CP  2008</t>
  </si>
  <si>
    <t>POGODBE 2008</t>
  </si>
  <si>
    <t xml:space="preserve">    IN POSEBNIH SOCIALNOVARSTVENIH ZAVODIH (tip A, B in C) </t>
  </si>
  <si>
    <t xml:space="preserve">III. POSEBNI SOCIALNI ZAVODI IN SOCIALNOVARSTVENI ZAVODI ZA USPOSABLJANJE - tip C  </t>
  </si>
  <si>
    <t>PLAČNI</t>
  </si>
  <si>
    <t>RAZRED</t>
  </si>
  <si>
    <t>OSN.PLAČA</t>
  </si>
  <si>
    <t>DEJAVNOST</t>
  </si>
  <si>
    <t>INFOR.</t>
  </si>
  <si>
    <t>INFORM.</t>
  </si>
  <si>
    <t>V TEKOČIH CENAH MAJ 2008</t>
  </si>
  <si>
    <t>v tekočih cenah maj 08</t>
  </si>
  <si>
    <t>PLAČNI RAZRED</t>
  </si>
  <si>
    <t>DODATKI</t>
  </si>
  <si>
    <t>ZAVOD NAPREJ dnevno varstvo za 15 oseb</t>
  </si>
  <si>
    <t xml:space="preserve"> - dnevno varstvo </t>
  </si>
  <si>
    <t>101 005 REHABILITACIJA PO POŠKODBI GLAVE</t>
  </si>
  <si>
    <t>DEL. IZ UR</t>
  </si>
  <si>
    <t>KV KOLIč.</t>
  </si>
  <si>
    <t>SK TOČK</t>
  </si>
  <si>
    <t>PR</t>
  </si>
  <si>
    <t>FIZIOTERAPEVT</t>
  </si>
  <si>
    <t>MEDICINSKI TEHNIK</t>
  </si>
  <si>
    <t>ADMINST. TEHNIČNI DELAVCI</t>
  </si>
  <si>
    <t>POGODBE 2009</t>
  </si>
  <si>
    <t>V TEKOČIH CENAH 1.4. 2009</t>
  </si>
  <si>
    <t>PLAN 2009</t>
  </si>
  <si>
    <t>CP  2009</t>
  </si>
  <si>
    <t>v tekočih cenah april  09</t>
  </si>
  <si>
    <t xml:space="preserve">   V CENTRIH ZA SLUH IN GOVOR  ZA LETO 2009</t>
  </si>
  <si>
    <t>materialni stroški na enoto storitev (april 2009)</t>
  </si>
  <si>
    <t>amortizacija na enoto storitev (april 2009)</t>
  </si>
  <si>
    <t>V TEKOČIH CENAH APRIL 2009</t>
  </si>
  <si>
    <t>v tekočih cenah APRIL 09</t>
  </si>
  <si>
    <t>BOLNIŠNIČNA REHABILITACIJA</t>
  </si>
  <si>
    <t>OSKRBNI DAN REHABILITACIJE (kto 202038-0121)</t>
  </si>
  <si>
    <t>11</t>
  </si>
  <si>
    <t>12</t>
  </si>
  <si>
    <t>13</t>
  </si>
  <si>
    <t>plačni razred</t>
  </si>
  <si>
    <t>SKUPAJ povprečni plačni razred</t>
  </si>
  <si>
    <t>3 fizioterapevti</t>
  </si>
  <si>
    <t>7 strežnic</t>
  </si>
  <si>
    <t>osn.plača</t>
  </si>
  <si>
    <t>plač.razred</t>
  </si>
  <si>
    <t>INFORMAT.</t>
  </si>
  <si>
    <t>v tekočih cenah april 09</t>
  </si>
  <si>
    <t xml:space="preserve">KALKULATIVNE PODLAGE ZA IZRAČUN  CENE ZA DNEVE  ZA PODALJŠANI PROGRAM BOLNIŠNIČNE REHABILITACIJE ZA STAREJŠE  </t>
  </si>
  <si>
    <t>ZAVAROVANE OSEBE    V DSO POLDE EBERL-JAMSKI IZLAKE ZA  LETO 2009</t>
  </si>
  <si>
    <t>CP 2009</t>
  </si>
  <si>
    <t>57.čl.SD 2009</t>
  </si>
  <si>
    <t>9a</t>
  </si>
  <si>
    <t>8a</t>
  </si>
  <si>
    <t>10a</t>
  </si>
  <si>
    <t>Priloga VIII/e - 2a</t>
  </si>
  <si>
    <t>Priloga VIII/e - 2b</t>
  </si>
  <si>
    <t>Priloga VIII/e - 2c</t>
  </si>
  <si>
    <t>Priloga VIII/e - 2d</t>
  </si>
  <si>
    <t>Priloga VIII/e - 2e</t>
  </si>
  <si>
    <t>10=9a/1</t>
  </si>
  <si>
    <t>KALKULATIVNE PODLAGE ZA IZRAČUN CENE TOČKE
ZA PROGRAME LOGOPEDSKE,DEFEKTOLOŠKE IN AVDIOLOŠKE DEJAVNOSTI</t>
  </si>
  <si>
    <t>logoped</t>
  </si>
  <si>
    <t>defektolog (avdiolog)</t>
  </si>
  <si>
    <t>psiholog</t>
  </si>
  <si>
    <t>defektolog</t>
  </si>
  <si>
    <t xml:space="preserve"> KALKULATIVNE PODLAGE ZA IZRAČUN POVPREČNIH CEN STORITEV ZDRAVSTVENE NEGE  ZA 100 POSTELJ ZA LETO 2009</t>
  </si>
  <si>
    <t>KALKULATIVNE PODLAGE ZA IZRAČUN  CENE ZA DAN REHABILITACIJE PO POŠKODBI GLAVE ZA LETO 2009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</si>
</sst>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0\ _s_i_t_-;\-* #,##0.0000\ _s_i_t_-;_-* &quot;-&quot;??\ _s_i_t_-;_-@_-"/>
    <numFmt numFmtId="173" formatCode="_-* #,##0\ _s_i_t_-;\-* #,##0\ _s_i_t_-;_-* &quot;-&quot;??\ _s_i_t_-;_-@_-"/>
    <numFmt numFmtId="174" formatCode="_-* #,##0\ _S_I_T_-;\-* #,##0\ _S_I_T_-;_-* &quot;-&quot;??\ _S_I_T_-;_-@_-"/>
    <numFmt numFmtId="175" formatCode="_-* #,##0.000\ _S_I_T_-;\-* #,##0.000\ _S_I_T_-;_-* &quot;-&quot;??\ _S_I_T_-;_-@_-"/>
    <numFmt numFmtId="176" formatCode="_-* #,##0.0000\ _S_I_T_-;\-* #,##0.0000\ _S_I_T_-;_-* &quot;-&quot;??\ _S_I_T_-;_-@_-"/>
    <numFmt numFmtId="177" formatCode="#,##0_);\(#,##0\)"/>
    <numFmt numFmtId="178" formatCode="#,##0.000_);\(#,##0.0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_(* #,##0.000_);_(* \(#,##0.000\);_(* &quot;-&quot;??_);_(@_)"/>
    <numFmt numFmtId="184" formatCode="_(* #,##0_);_(* \(#,##0\);_(* &quot;-&quot;??_);_(@_)"/>
    <numFmt numFmtId="185" formatCode="_-* #,##0.000\ _S_I_T_-;\-* #,##0.000\ _S_I_T_-;_-* &quot;-&quot;???\ _S_I_T_-;_-@_-"/>
    <numFmt numFmtId="186" formatCode="0.000000"/>
    <numFmt numFmtId="187" formatCode="0.00000"/>
    <numFmt numFmtId="188" formatCode="0.0000"/>
    <numFmt numFmtId="189" formatCode="0.0"/>
    <numFmt numFmtId="190" formatCode="_-* #,##0.0\ _S_I_T_-;\-* #,##0.0\ _S_I_T_-;_-* &quot;-&quot;??\ _S_I_T_-;_-@_-"/>
    <numFmt numFmtId="191" formatCode="#,##0.000"/>
    <numFmt numFmtId="192" formatCode="#,##0.0"/>
    <numFmt numFmtId="193" formatCode="0.0%"/>
    <numFmt numFmtId="194" formatCode="#,##0.0000"/>
    <numFmt numFmtId="195" formatCode="#,##0.0000_);\(#,##0.0000\)"/>
    <numFmt numFmtId="196" formatCode="0.0000000"/>
    <numFmt numFmtId="197" formatCode="0.00000000"/>
    <numFmt numFmtId="198" formatCode="0.000000000"/>
    <numFmt numFmtId="199" formatCode="_-* #,##0.0000\ _S_I_T_-;\-* #,##0.0000\ _S_I_T_-;_-* &quot;-&quot;????\ _S_I_T_-;_-@_-"/>
    <numFmt numFmtId="200" formatCode="_-* #,##0.0000\ _€_-;\-* #,##0.0000\ _€_-;_-* &quot;-&quot;????\ _€_-;_-@_-"/>
    <numFmt numFmtId="201" formatCode="_-* #,##0.000\ _€_-;\-* #,##0.000\ _€_-;_-* &quot;-&quot;???\ _€_-;_-@_-"/>
    <numFmt numFmtId="202" formatCode="#,##0.0000_ ;\-#,##0.0000\ "/>
    <numFmt numFmtId="203" formatCode="#,##0.00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0"/>
      <color indexed="8"/>
      <name val="Arial CE"/>
      <family val="2"/>
    </font>
    <font>
      <sz val="8"/>
      <color indexed="10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 CE"/>
      <family val="0"/>
    </font>
    <font>
      <b/>
      <sz val="9"/>
      <name val="Arial CE"/>
      <family val="0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72" fontId="0" fillId="0" borderId="0" xfId="21" applyNumberFormat="1" applyFont="1" applyAlignment="1">
      <alignment/>
    </xf>
    <xf numFmtId="0" fontId="0" fillId="0" borderId="0" xfId="0" applyFont="1" applyAlignment="1">
      <alignment/>
    </xf>
    <xf numFmtId="173" fontId="0" fillId="0" borderId="0" xfId="21" applyNumberFormat="1" applyFont="1" applyAlignment="1">
      <alignment/>
    </xf>
    <xf numFmtId="0" fontId="0" fillId="0" borderId="1" xfId="0" applyFont="1" applyBorder="1" applyAlignment="1">
      <alignment/>
    </xf>
    <xf numFmtId="173" fontId="0" fillId="0" borderId="1" xfId="21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172" fontId="0" fillId="0" borderId="2" xfId="21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172" fontId="0" fillId="0" borderId="2" xfId="21" applyNumberFormat="1" applyFont="1" applyBorder="1" applyAlignment="1">
      <alignment/>
    </xf>
    <xf numFmtId="176" fontId="0" fillId="0" borderId="0" xfId="21" applyNumberFormat="1" applyFont="1" applyAlignment="1">
      <alignment/>
    </xf>
    <xf numFmtId="176" fontId="0" fillId="0" borderId="0" xfId="21" applyNumberFormat="1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177" fontId="6" fillId="0" borderId="4" xfId="0" applyNumberFormat="1" applyFont="1" applyBorder="1" applyAlignment="1" applyProtection="1">
      <alignment horizontal="right"/>
      <protection/>
    </xf>
    <xf numFmtId="177" fontId="6" fillId="0" borderId="5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>
      <alignment/>
    </xf>
    <xf numFmtId="173" fontId="0" fillId="0" borderId="0" xfId="21" applyNumberFormat="1" applyFont="1" applyBorder="1" applyAlignment="1">
      <alignment/>
    </xf>
    <xf numFmtId="171" fontId="6" fillId="0" borderId="0" xfId="21" applyFont="1" applyAlignment="1">
      <alignment/>
    </xf>
    <xf numFmtId="171" fontId="6" fillId="0" borderId="3" xfId="21" applyFont="1" applyBorder="1" applyAlignment="1" applyProtection="1">
      <alignment horizontal="center"/>
      <protection/>
    </xf>
    <xf numFmtId="171" fontId="6" fillId="0" borderId="4" xfId="21" applyFont="1" applyBorder="1" applyAlignment="1" applyProtection="1">
      <alignment horizontal="center"/>
      <protection/>
    </xf>
    <xf numFmtId="171" fontId="6" fillId="0" borderId="5" xfId="21" applyFont="1" applyBorder="1" applyAlignment="1" applyProtection="1">
      <alignment horizontal="center"/>
      <protection/>
    </xf>
    <xf numFmtId="171" fontId="6" fillId="0" borderId="2" xfId="21" applyFont="1" applyBorder="1" applyAlignment="1" applyProtection="1">
      <alignment horizontal="center"/>
      <protection/>
    </xf>
    <xf numFmtId="171" fontId="6" fillId="0" borderId="4" xfId="21" applyFont="1" applyBorder="1" applyAlignment="1" applyProtection="1">
      <alignment horizontal="right"/>
      <protection/>
    </xf>
    <xf numFmtId="171" fontId="6" fillId="0" borderId="5" xfId="21" applyFont="1" applyBorder="1" applyAlignment="1" applyProtection="1">
      <alignment horizontal="right"/>
      <protection/>
    </xf>
    <xf numFmtId="171" fontId="6" fillId="0" borderId="0" xfId="21" applyFont="1" applyAlignment="1" applyProtection="1">
      <alignment horizontal="right"/>
      <protection/>
    </xf>
    <xf numFmtId="171" fontId="6" fillId="0" borderId="0" xfId="21" applyFont="1" applyAlignment="1" applyProtection="1">
      <alignment/>
      <protection/>
    </xf>
    <xf numFmtId="171" fontId="6" fillId="0" borderId="0" xfId="21" applyFont="1" applyBorder="1" applyAlignment="1">
      <alignment/>
    </xf>
    <xf numFmtId="171" fontId="6" fillId="0" borderId="0" xfId="21" applyFont="1" applyBorder="1" applyAlignment="1" applyProtection="1">
      <alignment horizontal="right"/>
      <protection/>
    </xf>
    <xf numFmtId="174" fontId="6" fillId="0" borderId="0" xfId="21" applyNumberFormat="1" applyFont="1" applyAlignment="1">
      <alignment/>
    </xf>
    <xf numFmtId="174" fontId="6" fillId="0" borderId="3" xfId="21" applyNumberFormat="1" applyFont="1" applyBorder="1" applyAlignment="1" applyProtection="1">
      <alignment horizontal="center"/>
      <protection/>
    </xf>
    <xf numFmtId="174" fontId="6" fillId="0" borderId="4" xfId="21" applyNumberFormat="1" applyFont="1" applyBorder="1" applyAlignment="1" applyProtection="1">
      <alignment horizontal="center"/>
      <protection/>
    </xf>
    <xf numFmtId="174" fontId="6" fillId="0" borderId="5" xfId="21" applyNumberFormat="1" applyFont="1" applyBorder="1" applyAlignment="1" applyProtection="1">
      <alignment horizontal="center"/>
      <protection/>
    </xf>
    <xf numFmtId="174" fontId="6" fillId="0" borderId="2" xfId="21" applyNumberFormat="1" applyFont="1" applyBorder="1" applyAlignment="1" applyProtection="1">
      <alignment horizontal="center"/>
      <protection/>
    </xf>
    <xf numFmtId="174" fontId="6" fillId="0" borderId="4" xfId="21" applyNumberFormat="1" applyFont="1" applyBorder="1" applyAlignment="1" applyProtection="1">
      <alignment horizontal="right"/>
      <protection/>
    </xf>
    <xf numFmtId="174" fontId="6" fillId="0" borderId="5" xfId="21" applyNumberFormat="1" applyFont="1" applyBorder="1" applyAlignment="1" applyProtection="1">
      <alignment horizontal="right"/>
      <protection/>
    </xf>
    <xf numFmtId="174" fontId="6" fillId="0" borderId="0" xfId="21" applyNumberFormat="1" applyFont="1" applyAlignment="1" applyProtection="1">
      <alignment horizontal="right"/>
      <protection/>
    </xf>
    <xf numFmtId="174" fontId="6" fillId="0" borderId="0" xfId="21" applyNumberFormat="1" applyFont="1" applyAlignment="1" applyProtection="1" quotePrefix="1">
      <alignment horizontal="right"/>
      <protection/>
    </xf>
    <xf numFmtId="174" fontId="6" fillId="0" borderId="0" xfId="21" applyNumberFormat="1" applyFont="1" applyAlignment="1" applyProtection="1">
      <alignment/>
      <protection/>
    </xf>
    <xf numFmtId="0" fontId="7" fillId="0" borderId="0" xfId="0" applyFont="1" applyAlignment="1">
      <alignment/>
    </xf>
    <xf numFmtId="171" fontId="7" fillId="0" borderId="0" xfId="21" applyFont="1" applyBorder="1" applyAlignment="1">
      <alignment/>
    </xf>
    <xf numFmtId="175" fontId="6" fillId="0" borderId="0" xfId="21" applyNumberFormat="1" applyFont="1" applyBorder="1" applyAlignment="1">
      <alignment/>
    </xf>
    <xf numFmtId="175" fontId="6" fillId="0" borderId="0" xfId="21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4" fontId="6" fillId="0" borderId="0" xfId="21" applyNumberFormat="1" applyFont="1" applyAlignment="1" applyProtection="1">
      <alignment horizontal="left"/>
      <protection/>
    </xf>
    <xf numFmtId="175" fontId="6" fillId="0" borderId="3" xfId="21" applyNumberFormat="1" applyFont="1" applyBorder="1" applyAlignment="1" applyProtection="1">
      <alignment horizontal="center"/>
      <protection/>
    </xf>
    <xf numFmtId="175" fontId="6" fillId="0" borderId="4" xfId="21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175" fontId="6" fillId="0" borderId="5" xfId="21" applyNumberFormat="1" applyFont="1" applyBorder="1" applyAlignment="1" applyProtection="1">
      <alignment horizontal="center"/>
      <protection/>
    </xf>
    <xf numFmtId="175" fontId="6" fillId="0" borderId="2" xfId="21" applyNumberFormat="1" applyFont="1" applyBorder="1" applyAlignment="1" applyProtection="1">
      <alignment horizontal="center"/>
      <protection/>
    </xf>
    <xf numFmtId="171" fontId="6" fillId="0" borderId="2" xfId="21" applyFont="1" applyBorder="1" applyAlignment="1" applyProtection="1" quotePrefix="1">
      <alignment horizontal="center"/>
      <protection/>
    </xf>
    <xf numFmtId="174" fontId="6" fillId="0" borderId="2" xfId="21" applyNumberFormat="1" applyFont="1" applyBorder="1" applyAlignment="1" applyProtection="1" quotePrefix="1">
      <alignment horizontal="center"/>
      <protection/>
    </xf>
    <xf numFmtId="0" fontId="6" fillId="0" borderId="2" xfId="0" applyFont="1" applyBorder="1" applyAlignment="1" applyProtection="1" quotePrefix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175" fontId="6" fillId="0" borderId="4" xfId="21" applyNumberFormat="1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left"/>
      <protection/>
    </xf>
    <xf numFmtId="171" fontId="6" fillId="0" borderId="1" xfId="21" applyFont="1" applyBorder="1" applyAlignment="1" applyProtection="1">
      <alignment horizontal="right"/>
      <protection/>
    </xf>
    <xf numFmtId="175" fontId="6" fillId="0" borderId="0" xfId="21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 horizontal="right"/>
      <protection/>
    </xf>
    <xf numFmtId="174" fontId="6" fillId="0" borderId="0" xfId="21" applyNumberFormat="1" applyFont="1" applyAlignment="1">
      <alignment horizontal="right"/>
    </xf>
    <xf numFmtId="175" fontId="6" fillId="0" borderId="0" xfId="21" applyNumberFormat="1" applyFont="1" applyAlignment="1" applyProtection="1">
      <alignment/>
      <protection/>
    </xf>
    <xf numFmtId="171" fontId="6" fillId="0" borderId="0" xfId="21" applyFont="1" applyAlignment="1" applyProtection="1" quotePrefix="1">
      <alignment horizontal="right"/>
      <protection/>
    </xf>
    <xf numFmtId="176" fontId="6" fillId="2" borderId="0" xfId="21" applyNumberFormat="1" applyFont="1" applyFill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>
      <alignment horizontal="right"/>
    </xf>
    <xf numFmtId="174" fontId="6" fillId="2" borderId="0" xfId="21" applyNumberFormat="1" applyFont="1" applyFill="1" applyAlignment="1" applyProtection="1">
      <alignment horizontal="right"/>
      <protection/>
    </xf>
    <xf numFmtId="0" fontId="0" fillId="0" borderId="2" xfId="0" applyFont="1" applyBorder="1" applyAlignment="1">
      <alignment/>
    </xf>
    <xf numFmtId="172" fontId="0" fillId="0" borderId="2" xfId="21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6" fillId="3" borderId="4" xfId="0" applyFont="1" applyFill="1" applyBorder="1" applyAlignment="1" applyProtection="1">
      <alignment horizontal="left"/>
      <protection/>
    </xf>
    <xf numFmtId="174" fontId="6" fillId="3" borderId="4" xfId="21" applyNumberFormat="1" applyFont="1" applyFill="1" applyBorder="1" applyAlignment="1" applyProtection="1">
      <alignment horizontal="right"/>
      <protection/>
    </xf>
    <xf numFmtId="171" fontId="6" fillId="3" borderId="4" xfId="21" applyFont="1" applyFill="1" applyBorder="1" applyAlignment="1" applyProtection="1">
      <alignment horizontal="right"/>
      <protection/>
    </xf>
    <xf numFmtId="175" fontId="6" fillId="3" borderId="4" xfId="21" applyNumberFormat="1" applyFont="1" applyFill="1" applyBorder="1" applyAlignment="1" applyProtection="1">
      <alignment horizontal="right"/>
      <protection/>
    </xf>
    <xf numFmtId="175" fontId="6" fillId="3" borderId="3" xfId="21" applyNumberFormat="1" applyFont="1" applyFill="1" applyBorder="1" applyAlignment="1" applyProtection="1">
      <alignment horizontal="right"/>
      <protection/>
    </xf>
    <xf numFmtId="171" fontId="6" fillId="3" borderId="3" xfId="21" applyFont="1" applyFill="1" applyBorder="1" applyAlignment="1" applyProtection="1">
      <alignment horizontal="right"/>
      <protection/>
    </xf>
    <xf numFmtId="171" fontId="6" fillId="3" borderId="3" xfId="21" applyNumberFormat="1" applyFont="1" applyFill="1" applyBorder="1" applyAlignment="1" applyProtection="1">
      <alignment horizontal="right"/>
      <protection/>
    </xf>
    <xf numFmtId="171" fontId="6" fillId="3" borderId="4" xfId="21" applyNumberFormat="1" applyFont="1" applyFill="1" applyBorder="1" applyAlignment="1" applyProtection="1">
      <alignment horizontal="right"/>
      <protection/>
    </xf>
    <xf numFmtId="10" fontId="6" fillId="2" borderId="0" xfId="0" applyNumberFormat="1" applyFont="1" applyFill="1" applyAlignment="1" applyProtection="1">
      <alignment horizontal="right"/>
      <protection/>
    </xf>
    <xf numFmtId="10" fontId="6" fillId="0" borderId="0" xfId="21" applyNumberFormat="1" applyFont="1" applyAlignment="1" applyProtection="1">
      <alignment horizontal="right"/>
      <protection/>
    </xf>
    <xf numFmtId="187" fontId="8" fillId="0" borderId="0" xfId="0" applyNumberFormat="1" applyFont="1" applyAlignment="1">
      <alignment horizontal="right"/>
    </xf>
    <xf numFmtId="171" fontId="6" fillId="3" borderId="0" xfId="21" applyFont="1" applyFill="1" applyBorder="1" applyAlignment="1" applyProtection="1">
      <alignment horizontal="right"/>
      <protection/>
    </xf>
    <xf numFmtId="177" fontId="6" fillId="3" borderId="4" xfId="0" applyNumberFormat="1" applyFont="1" applyFill="1" applyBorder="1" applyAlignment="1" applyProtection="1">
      <alignment horizontal="center"/>
      <protection/>
    </xf>
    <xf numFmtId="2" fontId="6" fillId="3" borderId="4" xfId="0" applyNumberFormat="1" applyFont="1" applyFill="1" applyBorder="1" applyAlignment="1" applyProtection="1">
      <alignment horizontal="center"/>
      <protection/>
    </xf>
    <xf numFmtId="175" fontId="9" fillId="0" borderId="0" xfId="21" applyNumberFormat="1" applyFont="1" applyAlignment="1">
      <alignment/>
    </xf>
    <xf numFmtId="0" fontId="0" fillId="0" borderId="2" xfId="0" applyFont="1" applyBorder="1" applyAlignment="1">
      <alignment horizontal="center" wrapText="1"/>
    </xf>
    <xf numFmtId="49" fontId="10" fillId="0" borderId="0" xfId="16" applyNumberFormat="1" applyFont="1" applyBorder="1" applyAlignment="1">
      <alignment horizontal="left" vertical="center"/>
      <protection/>
    </xf>
    <xf numFmtId="49" fontId="11" fillId="0" borderId="0" xfId="16" applyNumberFormat="1" applyFont="1" applyBorder="1" applyAlignment="1">
      <alignment horizontal="left" vertical="center" wrapText="1"/>
      <protection/>
    </xf>
    <xf numFmtId="0" fontId="7" fillId="3" borderId="3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horizontal="left"/>
      <protection/>
    </xf>
    <xf numFmtId="174" fontId="6" fillId="3" borderId="2" xfId="21" applyNumberFormat="1" applyFont="1" applyFill="1" applyBorder="1" applyAlignment="1" applyProtection="1">
      <alignment horizontal="right"/>
      <protection/>
    </xf>
    <xf numFmtId="175" fontId="6" fillId="3" borderId="2" xfId="21" applyNumberFormat="1" applyFont="1" applyFill="1" applyBorder="1" applyAlignment="1" applyProtection="1">
      <alignment horizontal="right"/>
      <protection/>
    </xf>
    <xf numFmtId="171" fontId="6" fillId="3" borderId="2" xfId="21" applyFont="1" applyFill="1" applyBorder="1" applyAlignment="1" applyProtection="1">
      <alignment horizontal="right"/>
      <protection/>
    </xf>
    <xf numFmtId="171" fontId="6" fillId="3" borderId="2" xfId="21" applyNumberFormat="1" applyFont="1" applyFill="1" applyBorder="1" applyAlignment="1" applyProtection="1">
      <alignment horizontal="right"/>
      <protection/>
    </xf>
    <xf numFmtId="0" fontId="14" fillId="0" borderId="0" xfId="16" applyFont="1" applyAlignment="1" applyProtection="1">
      <alignment horizontal="left"/>
      <protection/>
    </xf>
    <xf numFmtId="174" fontId="14" fillId="0" borderId="7" xfId="21" applyNumberFormat="1" applyFont="1" applyBorder="1" applyAlignment="1" applyProtection="1">
      <alignment horizontal="centerContinuous"/>
      <protection/>
    </xf>
    <xf numFmtId="171" fontId="14" fillId="0" borderId="8" xfId="21" applyFont="1" applyBorder="1" applyAlignment="1">
      <alignment horizontal="centerContinuous"/>
    </xf>
    <xf numFmtId="175" fontId="14" fillId="0" borderId="8" xfId="21" applyNumberFormat="1" applyFont="1" applyBorder="1" applyAlignment="1">
      <alignment horizontal="centerContinuous"/>
    </xf>
    <xf numFmtId="175" fontId="14" fillId="0" borderId="9" xfId="21" applyNumberFormat="1" applyFont="1" applyBorder="1" applyAlignment="1">
      <alignment horizontal="center"/>
    </xf>
    <xf numFmtId="175" fontId="14" fillId="0" borderId="3" xfId="21" applyNumberFormat="1" applyFont="1" applyBorder="1" applyAlignment="1">
      <alignment horizontal="center"/>
    </xf>
    <xf numFmtId="175" fontId="14" fillId="0" borderId="3" xfId="21" applyNumberFormat="1" applyFont="1" applyBorder="1" applyAlignment="1">
      <alignment horizontal="centerContinuous" vertical="center" wrapText="1"/>
    </xf>
    <xf numFmtId="0" fontId="14" fillId="0" borderId="0" xfId="16" applyFont="1">
      <alignment/>
      <protection/>
    </xf>
    <xf numFmtId="184" fontId="14" fillId="0" borderId="2" xfId="21" applyNumberFormat="1" applyFont="1" applyBorder="1" applyAlignment="1">
      <alignment horizontal="left" wrapText="1"/>
    </xf>
    <xf numFmtId="0" fontId="14" fillId="0" borderId="4" xfId="16" applyFont="1" applyBorder="1" applyAlignment="1" applyProtection="1">
      <alignment horizontal="center" vertical="center" wrapText="1"/>
      <protection/>
    </xf>
    <xf numFmtId="183" fontId="14" fillId="0" borderId="2" xfId="21" applyNumberFormat="1" applyFont="1" applyBorder="1" applyAlignment="1">
      <alignment horizontal="center" vertical="center"/>
    </xf>
    <xf numFmtId="183" fontId="14" fillId="0" borderId="5" xfId="21" applyNumberFormat="1" applyFont="1" applyBorder="1" applyAlignment="1">
      <alignment horizontal="center" vertical="center" wrapText="1"/>
    </xf>
    <xf numFmtId="175" fontId="14" fillId="0" borderId="5" xfId="21" applyNumberFormat="1" applyFont="1" applyBorder="1" applyAlignment="1">
      <alignment horizontal="centerContinuous" vertical="center" wrapText="1"/>
    </xf>
    <xf numFmtId="0" fontId="15" fillId="0" borderId="7" xfId="16" applyFont="1" applyBorder="1" applyAlignment="1" applyProtection="1">
      <alignment horizontal="left"/>
      <protection/>
    </xf>
    <xf numFmtId="0" fontId="15" fillId="0" borderId="8" xfId="16" applyFont="1" applyBorder="1" applyAlignment="1" applyProtection="1">
      <alignment horizontal="left"/>
      <protection/>
    </xf>
    <xf numFmtId="0" fontId="15" fillId="0" borderId="9" xfId="16" applyFont="1" applyBorder="1" applyAlignment="1" applyProtection="1">
      <alignment horizontal="left"/>
      <protection/>
    </xf>
    <xf numFmtId="0" fontId="14" fillId="0" borderId="2" xfId="0" applyFont="1" applyBorder="1" applyAlignment="1">
      <alignment/>
    </xf>
    <xf numFmtId="171" fontId="14" fillId="0" borderId="2" xfId="21" applyFont="1" applyBorder="1" applyAlignment="1">
      <alignment/>
    </xf>
    <xf numFmtId="3" fontId="14" fillId="0" borderId="2" xfId="0" applyNumberFormat="1" applyFont="1" applyBorder="1" applyAlignment="1">
      <alignment horizontal="center"/>
    </xf>
    <xf numFmtId="0" fontId="14" fillId="0" borderId="2" xfId="16" applyFont="1" applyBorder="1" applyAlignment="1" applyProtection="1">
      <alignment horizontal="left" wrapText="1"/>
      <protection/>
    </xf>
    <xf numFmtId="171" fontId="14" fillId="0" borderId="2" xfId="21" applyFont="1" applyBorder="1" applyAlignment="1">
      <alignment horizontal="center"/>
    </xf>
    <xf numFmtId="0" fontId="14" fillId="0" borderId="2" xfId="16" applyFont="1" applyBorder="1" applyAlignment="1" applyProtection="1">
      <alignment horizontal="left"/>
      <protection/>
    </xf>
    <xf numFmtId="169" fontId="14" fillId="0" borderId="2" xfId="21" applyNumberFormat="1" applyFont="1" applyBorder="1" applyAlignment="1">
      <alignment horizontal="center"/>
    </xf>
    <xf numFmtId="0" fontId="14" fillId="3" borderId="2" xfId="16" applyFont="1" applyFill="1" applyBorder="1">
      <alignment/>
      <protection/>
    </xf>
    <xf numFmtId="171" fontId="14" fillId="3" borderId="2" xfId="21" applyFont="1" applyFill="1" applyBorder="1" applyAlignment="1">
      <alignment/>
    </xf>
    <xf numFmtId="0" fontId="15" fillId="3" borderId="2" xfId="16" applyFont="1" applyFill="1" applyBorder="1">
      <alignment/>
      <protection/>
    </xf>
    <xf numFmtId="171" fontId="15" fillId="3" borderId="2" xfId="21" applyFont="1" applyFill="1" applyBorder="1" applyAlignment="1">
      <alignment/>
    </xf>
    <xf numFmtId="0" fontId="15" fillId="0" borderId="0" xfId="16" applyFont="1">
      <alignment/>
      <protection/>
    </xf>
    <xf numFmtId="0" fontId="14" fillId="3" borderId="10" xfId="16" applyFont="1" applyFill="1" applyBorder="1">
      <alignment/>
      <protection/>
    </xf>
    <xf numFmtId="171" fontId="14" fillId="3" borderId="0" xfId="21" applyFont="1" applyFill="1" applyBorder="1" applyAlignment="1">
      <alignment/>
    </xf>
    <xf numFmtId="0" fontId="14" fillId="0" borderId="0" xfId="16" applyFont="1" applyBorder="1" applyAlignment="1">
      <alignment horizontal="center"/>
      <protection/>
    </xf>
    <xf numFmtId="0" fontId="14" fillId="0" borderId="0" xfId="16" applyFont="1" applyBorder="1">
      <alignment/>
      <protection/>
    </xf>
    <xf numFmtId="0" fontId="15" fillId="3" borderId="7" xfId="16" applyFont="1" applyFill="1" applyBorder="1" applyAlignment="1">
      <alignment horizontal="left"/>
      <protection/>
    </xf>
    <xf numFmtId="0" fontId="15" fillId="3" borderId="8" xfId="16" applyFont="1" applyFill="1" applyBorder="1" applyAlignment="1">
      <alignment horizontal="left"/>
      <protection/>
    </xf>
    <xf numFmtId="171" fontId="14" fillId="3" borderId="7" xfId="21" applyFont="1" applyFill="1" applyBorder="1" applyAlignment="1">
      <alignment/>
    </xf>
    <xf numFmtId="0" fontId="15" fillId="0" borderId="2" xfId="16" applyFont="1" applyBorder="1" applyAlignment="1">
      <alignment horizontal="center"/>
      <protection/>
    </xf>
    <xf numFmtId="0" fontId="15" fillId="0" borderId="2" xfId="16" applyFont="1" applyBorder="1">
      <alignment/>
      <protection/>
    </xf>
    <xf numFmtId="0" fontId="14" fillId="3" borderId="0" xfId="16" applyFont="1" applyFill="1" applyBorder="1" applyAlignment="1">
      <alignment horizontal="centerContinuous"/>
      <protection/>
    </xf>
    <xf numFmtId="171" fontId="15" fillId="0" borderId="2" xfId="16" applyNumberFormat="1" applyFont="1" applyBorder="1" applyAlignment="1">
      <alignment horizontal="center"/>
      <protection/>
    </xf>
    <xf numFmtId="0" fontId="14" fillId="0" borderId="0" xfId="16" applyFont="1" applyAlignment="1">
      <alignment horizontal="center"/>
      <protection/>
    </xf>
    <xf numFmtId="0" fontId="14" fillId="0" borderId="2" xfId="16" applyFont="1" applyBorder="1">
      <alignment/>
      <protection/>
    </xf>
    <xf numFmtId="182" fontId="6" fillId="3" borderId="4" xfId="21" applyNumberFormat="1" applyFont="1" applyFill="1" applyBorder="1" applyAlignment="1" applyProtection="1">
      <alignment horizontal="center"/>
      <protection/>
    </xf>
    <xf numFmtId="3" fontId="6" fillId="3" borderId="4" xfId="21" applyNumberFormat="1" applyFont="1" applyFill="1" applyBorder="1" applyAlignment="1" applyProtection="1">
      <alignment horizontal="center"/>
      <protection/>
    </xf>
    <xf numFmtId="49" fontId="1" fillId="0" borderId="0" xfId="16" applyNumberFormat="1" applyFont="1" applyBorder="1" applyAlignment="1">
      <alignment horizontal="centerContinuous" vertical="center" wrapText="1"/>
      <protection/>
    </xf>
    <xf numFmtId="0" fontId="1" fillId="0" borderId="2" xfId="0" applyFont="1" applyBorder="1" applyAlignment="1">
      <alignment/>
    </xf>
    <xf numFmtId="172" fontId="1" fillId="0" borderId="2" xfId="21" applyNumberFormat="1" applyFont="1" applyBorder="1" applyAlignment="1">
      <alignment/>
    </xf>
    <xf numFmtId="4" fontId="6" fillId="0" borderId="0" xfId="21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3" xfId="21" applyNumberFormat="1" applyFont="1" applyBorder="1" applyAlignment="1" applyProtection="1">
      <alignment horizontal="center"/>
      <protection/>
    </xf>
    <xf numFmtId="4" fontId="6" fillId="0" borderId="4" xfId="21" applyNumberFormat="1" applyFont="1" applyBorder="1" applyAlignment="1" applyProtection="1">
      <alignment horizontal="center"/>
      <protection/>
    </xf>
    <xf numFmtId="4" fontId="6" fillId="0" borderId="5" xfId="21" applyNumberFormat="1" applyFont="1" applyBorder="1" applyAlignment="1" applyProtection="1">
      <alignment horizontal="center" wrapText="1"/>
      <protection/>
    </xf>
    <xf numFmtId="4" fontId="6" fillId="0" borderId="4" xfId="21" applyNumberFormat="1" applyFont="1" applyBorder="1" applyAlignment="1" applyProtection="1">
      <alignment horizontal="right"/>
      <protection/>
    </xf>
    <xf numFmtId="4" fontId="6" fillId="0" borderId="5" xfId="21" applyNumberFormat="1" applyFont="1" applyBorder="1" applyAlignment="1" applyProtection="1">
      <alignment horizontal="right"/>
      <protection/>
    </xf>
    <xf numFmtId="4" fontId="6" fillId="0" borderId="0" xfId="21" applyNumberFormat="1" applyFont="1" applyAlignment="1">
      <alignment horizontal="right"/>
    </xf>
    <xf numFmtId="0" fontId="6" fillId="0" borderId="0" xfId="16" applyFont="1">
      <alignment/>
      <protection/>
    </xf>
    <xf numFmtId="0" fontId="6" fillId="0" borderId="0" xfId="16" applyFont="1" applyAlignment="1">
      <alignment horizontal="center"/>
      <protection/>
    </xf>
    <xf numFmtId="49" fontId="7" fillId="0" borderId="0" xfId="16" applyNumberFormat="1" applyFont="1" applyBorder="1" applyAlignment="1">
      <alignment horizontal="centerContinuous" vertical="center" wrapText="1"/>
      <protection/>
    </xf>
    <xf numFmtId="175" fontId="6" fillId="0" borderId="0" xfId="21" applyNumberFormat="1" applyFont="1" applyAlignment="1">
      <alignment horizontal="center"/>
    </xf>
    <xf numFmtId="0" fontId="7" fillId="0" borderId="0" xfId="16" applyFont="1">
      <alignment/>
      <protection/>
    </xf>
    <xf numFmtId="0" fontId="6" fillId="0" borderId="0" xfId="16" applyFont="1" applyBorder="1">
      <alignment/>
      <protection/>
    </xf>
    <xf numFmtId="43" fontId="14" fillId="0" borderId="0" xfId="16" applyNumberFormat="1" applyFont="1" applyBorder="1" applyAlignment="1">
      <alignment horizontal="center"/>
      <protection/>
    </xf>
    <xf numFmtId="43" fontId="14" fillId="3" borderId="0" xfId="16" applyNumberFormat="1" applyFont="1" applyFill="1" applyBorder="1" applyAlignment="1">
      <alignment horizontal="centerContinuous"/>
      <protection/>
    </xf>
    <xf numFmtId="169" fontId="14" fillId="0" borderId="2" xfId="16" applyNumberFormat="1" applyFont="1" applyBorder="1" applyAlignment="1">
      <alignment horizontal="center"/>
      <protection/>
    </xf>
    <xf numFmtId="169" fontId="15" fillId="0" borderId="2" xfId="16" applyNumberFormat="1" applyFont="1" applyBorder="1" applyAlignment="1">
      <alignment horizontal="center"/>
      <protection/>
    </xf>
    <xf numFmtId="0" fontId="15" fillId="3" borderId="9" xfId="16" applyFont="1" applyFill="1" applyBorder="1" applyAlignment="1">
      <alignment horizontal="center"/>
      <protection/>
    </xf>
    <xf numFmtId="187" fontId="6" fillId="0" borderId="4" xfId="21" applyNumberFormat="1" applyFont="1" applyBorder="1" applyAlignment="1" applyProtection="1">
      <alignment horizontal="right"/>
      <protection/>
    </xf>
    <xf numFmtId="187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/>
    </xf>
    <xf numFmtId="187" fontId="6" fillId="0" borderId="5" xfId="21" applyNumberFormat="1" applyFont="1" applyBorder="1" applyAlignment="1" applyProtection="1">
      <alignment horizontal="right"/>
      <protection/>
    </xf>
    <xf numFmtId="171" fontId="14" fillId="0" borderId="2" xfId="21" applyNumberFormat="1" applyFont="1" applyBorder="1" applyAlignment="1">
      <alignment/>
    </xf>
    <xf numFmtId="171" fontId="14" fillId="0" borderId="2" xfId="21" applyNumberFormat="1" applyFont="1" applyBorder="1" applyAlignment="1">
      <alignment horizontal="center"/>
    </xf>
    <xf numFmtId="171" fontId="14" fillId="3" borderId="2" xfId="21" applyNumberFormat="1" applyFont="1" applyFill="1" applyBorder="1" applyAlignment="1">
      <alignment/>
    </xf>
    <xf numFmtId="171" fontId="9" fillId="0" borderId="3" xfId="21" applyFont="1" applyBorder="1" applyAlignment="1" applyProtection="1">
      <alignment horizontal="center"/>
      <protection/>
    </xf>
    <xf numFmtId="171" fontId="9" fillId="0" borderId="4" xfId="21" applyFont="1" applyBorder="1" applyAlignment="1" applyProtection="1">
      <alignment horizontal="center"/>
      <protection/>
    </xf>
    <xf numFmtId="175" fontId="9" fillId="0" borderId="3" xfId="21" applyNumberFormat="1" applyFont="1" applyBorder="1" applyAlignment="1" applyProtection="1">
      <alignment horizontal="center"/>
      <protection/>
    </xf>
    <xf numFmtId="175" fontId="9" fillId="0" borderId="4" xfId="21" applyNumberFormat="1" applyFont="1" applyBorder="1" applyAlignment="1" applyProtection="1">
      <alignment horizontal="center"/>
      <protection/>
    </xf>
    <xf numFmtId="175" fontId="9" fillId="0" borderId="3" xfId="21" applyNumberFormat="1" applyFont="1" applyBorder="1" applyAlignment="1" applyProtection="1">
      <alignment horizontal="center" wrapText="1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1" fontId="6" fillId="0" borderId="2" xfId="21" applyNumberFormat="1" applyFont="1" applyBorder="1" applyAlignment="1" applyProtection="1">
      <alignment horizontal="center"/>
      <protection/>
    </xf>
    <xf numFmtId="1" fontId="6" fillId="0" borderId="2" xfId="21" applyNumberFormat="1" applyFont="1" applyBorder="1" applyAlignment="1" applyProtection="1" quotePrefix="1">
      <alignment horizontal="center"/>
      <protection/>
    </xf>
    <xf numFmtId="43" fontId="6" fillId="0" borderId="0" xfId="0" applyNumberFormat="1" applyFont="1" applyAlignment="1">
      <alignment/>
    </xf>
    <xf numFmtId="202" fontId="6" fillId="0" borderId="0" xfId="0" applyNumberFormat="1" applyFont="1" applyAlignment="1">
      <alignment/>
    </xf>
    <xf numFmtId="3" fontId="15" fillId="0" borderId="2" xfId="16" applyNumberFormat="1" applyFont="1" applyBorder="1" applyAlignment="1">
      <alignment horizontal="center"/>
      <protection/>
    </xf>
    <xf numFmtId="2" fontId="6" fillId="3" borderId="2" xfId="0" applyNumberFormat="1" applyFont="1" applyFill="1" applyBorder="1" applyAlignment="1" applyProtection="1">
      <alignment horizontal="center"/>
      <protection/>
    </xf>
    <xf numFmtId="174" fontId="6" fillId="0" borderId="2" xfId="21" applyNumberFormat="1" applyFont="1" applyBorder="1" applyAlignment="1" applyProtection="1">
      <alignment horizontal="right"/>
      <protection/>
    </xf>
    <xf numFmtId="177" fontId="6" fillId="3" borderId="2" xfId="0" applyNumberFormat="1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left"/>
      <protection/>
    </xf>
    <xf numFmtId="182" fontId="6" fillId="0" borderId="2" xfId="21" applyNumberFormat="1" applyFont="1" applyBorder="1" applyAlignment="1" applyProtection="1">
      <alignment horizontal="right"/>
      <protection/>
    </xf>
    <xf numFmtId="174" fontId="6" fillId="0" borderId="2" xfId="21" applyNumberFormat="1" applyFont="1" applyFill="1" applyBorder="1" applyAlignment="1" applyProtection="1">
      <alignment horizontal="right"/>
      <protection/>
    </xf>
    <xf numFmtId="10" fontId="6" fillId="2" borderId="0" xfId="21" applyNumberFormat="1" applyFont="1" applyFill="1" applyAlignment="1" applyProtection="1">
      <alignment horizontal="right"/>
      <protection/>
    </xf>
    <xf numFmtId="191" fontId="6" fillId="2" borderId="0" xfId="21" applyNumberFormat="1" applyFont="1" applyFill="1" applyAlignment="1" applyProtection="1">
      <alignment horizontal="center"/>
      <protection/>
    </xf>
    <xf numFmtId="10" fontId="6" fillId="2" borderId="0" xfId="0" applyNumberFormat="1" applyFont="1" applyFill="1" applyAlignment="1" applyProtection="1">
      <alignment horizontal="right"/>
      <protection/>
    </xf>
    <xf numFmtId="4" fontId="6" fillId="2" borderId="0" xfId="21" applyNumberFormat="1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0" fontId="6" fillId="4" borderId="4" xfId="0" applyFont="1" applyFill="1" applyBorder="1" applyAlignment="1" applyProtection="1">
      <alignment horizontal="left"/>
      <protection/>
    </xf>
    <xf numFmtId="174" fontId="6" fillId="4" borderId="4" xfId="21" applyNumberFormat="1" applyFont="1" applyFill="1" applyBorder="1" applyAlignment="1" applyProtection="1">
      <alignment horizontal="right"/>
      <protection/>
    </xf>
    <xf numFmtId="171" fontId="6" fillId="4" borderId="4" xfId="21" applyFont="1" applyFill="1" applyBorder="1" applyAlignment="1" applyProtection="1">
      <alignment horizontal="right"/>
      <protection/>
    </xf>
    <xf numFmtId="171" fontId="9" fillId="4" borderId="4" xfId="21" applyFont="1" applyFill="1" applyBorder="1" applyAlignment="1" applyProtection="1">
      <alignment horizontal="right"/>
      <protection/>
    </xf>
    <xf numFmtId="171" fontId="9" fillId="4" borderId="4" xfId="21" applyFont="1" applyFill="1" applyBorder="1" applyAlignment="1" applyProtection="1">
      <alignment horizontal="right"/>
      <protection/>
    </xf>
    <xf numFmtId="174" fontId="9" fillId="4" borderId="4" xfId="21" applyNumberFormat="1" applyFont="1" applyFill="1" applyBorder="1" applyAlignment="1" applyProtection="1">
      <alignment horizontal="right"/>
      <protection/>
    </xf>
    <xf numFmtId="177" fontId="6" fillId="4" borderId="4" xfId="0" applyNumberFormat="1" applyFont="1" applyFill="1" applyBorder="1" applyAlignment="1" applyProtection="1">
      <alignment horizontal="right"/>
      <protection/>
    </xf>
    <xf numFmtId="4" fontId="6" fillId="4" borderId="4" xfId="21" applyNumberFormat="1" applyFont="1" applyFill="1" applyBorder="1" applyAlignment="1" applyProtection="1">
      <alignment horizontal="right"/>
      <protection/>
    </xf>
    <xf numFmtId="187" fontId="6" fillId="4" borderId="4" xfId="21" applyNumberFormat="1" applyFont="1" applyFill="1" applyBorder="1" applyAlignment="1" applyProtection="1">
      <alignment horizontal="right"/>
      <protection/>
    </xf>
    <xf numFmtId="171" fontId="6" fillId="4" borderId="0" xfId="21" applyFont="1" applyFill="1" applyBorder="1" applyAlignment="1" applyProtection="1">
      <alignment horizontal="right"/>
      <protection/>
    </xf>
    <xf numFmtId="0" fontId="6" fillId="4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182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182" fontId="18" fillId="0" borderId="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7" fontId="6" fillId="2" borderId="0" xfId="21" applyNumberFormat="1" applyFont="1" applyFill="1" applyAlignment="1" applyProtection="1">
      <alignment/>
      <protection/>
    </xf>
    <xf numFmtId="0" fontId="6" fillId="3" borderId="5" xfId="0" applyFont="1" applyFill="1" applyBorder="1" applyAlignment="1" applyProtection="1">
      <alignment horizontal="left"/>
      <protection/>
    </xf>
    <xf numFmtId="3" fontId="6" fillId="0" borderId="5" xfId="21" applyNumberFormat="1" applyFont="1" applyBorder="1" applyAlignment="1" applyProtection="1">
      <alignment horizontal="right"/>
      <protection/>
    </xf>
    <xf numFmtId="174" fontId="6" fillId="0" borderId="0" xfId="21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74" fontId="6" fillId="0" borderId="5" xfId="21" applyNumberFormat="1" applyFont="1" applyBorder="1" applyAlignment="1" applyProtection="1">
      <alignment horizontal="center" wrapText="1"/>
      <protection/>
    </xf>
    <xf numFmtId="3" fontId="0" fillId="0" borderId="0" xfId="21" applyNumberFormat="1" applyFont="1" applyAlignment="1" applyProtection="1">
      <alignment/>
      <protection/>
    </xf>
    <xf numFmtId="3" fontId="0" fillId="0" borderId="0" xfId="21" applyNumberFormat="1" applyFont="1" applyAlignment="1" applyProtection="1">
      <alignment horizontal="right"/>
      <protection/>
    </xf>
    <xf numFmtId="191" fontId="0" fillId="0" borderId="0" xfId="21" applyNumberFormat="1" applyFont="1" applyAlignment="1" applyProtection="1">
      <alignment horizontal="right"/>
      <protection/>
    </xf>
    <xf numFmtId="10" fontId="0" fillId="0" borderId="0" xfId="18" applyNumberFormat="1" applyFont="1" applyAlignment="1" applyProtection="1">
      <alignment horizontal="right"/>
      <protection/>
    </xf>
    <xf numFmtId="1" fontId="0" fillId="0" borderId="0" xfId="21" applyNumberFormat="1" applyFont="1" applyAlignment="1">
      <alignment/>
    </xf>
    <xf numFmtId="1" fontId="1" fillId="0" borderId="0" xfId="21" applyNumberFormat="1" applyFont="1" applyBorder="1" applyAlignment="1">
      <alignment/>
    </xf>
    <xf numFmtId="1" fontId="0" fillId="0" borderId="2" xfId="21" applyNumberFormat="1" applyFont="1" applyBorder="1" applyAlignment="1">
      <alignment horizontal="center" wrapText="1"/>
    </xf>
    <xf numFmtId="1" fontId="0" fillId="0" borderId="2" xfId="21" applyNumberFormat="1" applyFont="1" applyBorder="1" applyAlignment="1">
      <alignment/>
    </xf>
    <xf numFmtId="1" fontId="0" fillId="0" borderId="2" xfId="21" applyNumberFormat="1" applyFont="1" applyBorder="1" applyAlignment="1">
      <alignment/>
    </xf>
    <xf numFmtId="1" fontId="1" fillId="0" borderId="2" xfId="21" applyNumberFormat="1" applyFont="1" applyBorder="1" applyAlignment="1">
      <alignment/>
    </xf>
    <xf numFmtId="3" fontId="14" fillId="0" borderId="2" xfId="21" applyNumberFormat="1" applyFont="1" applyBorder="1" applyAlignment="1">
      <alignment horizontal="center"/>
    </xf>
    <xf numFmtId="10" fontId="14" fillId="0" borderId="2" xfId="21" applyNumberFormat="1" applyFont="1" applyBorder="1" applyAlignment="1">
      <alignment horizontal="center"/>
    </xf>
    <xf numFmtId="3" fontId="14" fillId="0" borderId="2" xfId="16" applyNumberFormat="1" applyFont="1" applyBorder="1" applyAlignment="1">
      <alignment horizontal="center"/>
      <protection/>
    </xf>
    <xf numFmtId="185" fontId="15" fillId="0" borderId="2" xfId="16" applyNumberFormat="1" applyFont="1" applyBorder="1" applyAlignment="1">
      <alignment horizontal="center"/>
      <protection/>
    </xf>
    <xf numFmtId="3" fontId="14" fillId="0" borderId="0" xfId="16" applyNumberFormat="1" applyFont="1" applyBorder="1" applyAlignment="1">
      <alignment horizontal="center"/>
      <protection/>
    </xf>
    <xf numFmtId="3" fontId="15" fillId="3" borderId="8" xfId="16" applyNumberFormat="1" applyFont="1" applyFill="1" applyBorder="1" applyAlignment="1">
      <alignment horizontal="left"/>
      <protection/>
    </xf>
    <xf numFmtId="4" fontId="6" fillId="2" borderId="0" xfId="0" applyNumberFormat="1" applyFont="1" applyFill="1" applyAlignment="1" applyProtection="1">
      <alignment horizontal="right"/>
      <protection/>
    </xf>
    <xf numFmtId="4" fontId="6" fillId="2" borderId="0" xfId="0" applyNumberFormat="1" applyFont="1" applyFill="1" applyAlignment="1" applyProtection="1">
      <alignment horizontal="center"/>
      <protection/>
    </xf>
    <xf numFmtId="176" fontId="6" fillId="0" borderId="0" xfId="21" applyNumberFormat="1" applyFont="1" applyFill="1" applyAlignment="1" applyProtection="1">
      <alignment/>
      <protection/>
    </xf>
    <xf numFmtId="10" fontId="6" fillId="4" borderId="0" xfId="21" applyNumberFormat="1" applyFont="1" applyFill="1" applyAlignment="1" applyProtection="1">
      <alignment horizontal="right"/>
      <protection/>
    </xf>
    <xf numFmtId="9" fontId="6" fillId="4" borderId="0" xfId="18" applyFont="1" applyFill="1" applyAlignment="1" applyProtection="1">
      <alignment horizontal="right"/>
      <protection/>
    </xf>
    <xf numFmtId="175" fontId="6" fillId="0" borderId="3" xfId="21" applyNumberFormat="1" applyFont="1" applyBorder="1" applyAlignment="1" applyProtection="1">
      <alignment horizontal="center" wrapText="1"/>
      <protection/>
    </xf>
    <xf numFmtId="1" fontId="7" fillId="0" borderId="4" xfId="21" applyNumberFormat="1" applyFont="1" applyBorder="1" applyAlignment="1" applyProtection="1">
      <alignment horizontal="right"/>
      <protection/>
    </xf>
    <xf numFmtId="3" fontId="6" fillId="0" borderId="4" xfId="21" applyNumberFormat="1" applyFont="1" applyBorder="1" applyAlignment="1" applyProtection="1">
      <alignment horizontal="right"/>
      <protection/>
    </xf>
    <xf numFmtId="1" fontId="7" fillId="0" borderId="5" xfId="21" applyNumberFormat="1" applyFont="1" applyBorder="1" applyAlignment="1" applyProtection="1">
      <alignment horizontal="right"/>
      <protection/>
    </xf>
    <xf numFmtId="2" fontId="16" fillId="0" borderId="2" xfId="21" applyNumberFormat="1" applyFont="1" applyBorder="1" applyAlignment="1">
      <alignment horizontal="center"/>
    </xf>
    <xf numFmtId="0" fontId="14" fillId="4" borderId="0" xfId="16" applyFont="1" applyFill="1">
      <alignment/>
      <protection/>
    </xf>
    <xf numFmtId="0" fontId="6" fillId="0" borderId="2" xfId="0" applyFont="1" applyBorder="1" applyAlignment="1">
      <alignment/>
    </xf>
    <xf numFmtId="174" fontId="6" fillId="0" borderId="2" xfId="21" applyNumberFormat="1" applyFont="1" applyBorder="1" applyAlignment="1" applyProtection="1">
      <alignment/>
      <protection/>
    </xf>
    <xf numFmtId="171" fontId="6" fillId="0" borderId="2" xfId="21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187" fontId="6" fillId="2" borderId="0" xfId="21" applyNumberFormat="1" applyFont="1" applyFill="1" applyAlignment="1" applyProtection="1" quotePrefix="1">
      <alignment horizontal="right"/>
      <protection/>
    </xf>
    <xf numFmtId="174" fontId="6" fillId="0" borderId="5" xfId="0" applyNumberFormat="1" applyFont="1" applyBorder="1" applyAlignment="1" applyProtection="1">
      <alignment horizontal="right"/>
      <protection/>
    </xf>
    <xf numFmtId="182" fontId="6" fillId="3" borderId="2" xfId="21" applyNumberFormat="1" applyFont="1" applyFill="1" applyBorder="1" applyAlignment="1" applyProtection="1">
      <alignment horizontal="right"/>
      <protection/>
    </xf>
    <xf numFmtId="182" fontId="6" fillId="3" borderId="5" xfId="21" applyNumberFormat="1" applyFont="1" applyFill="1" applyBorder="1" applyAlignment="1" applyProtection="1">
      <alignment horizontal="right"/>
      <protection/>
    </xf>
    <xf numFmtId="182" fontId="6" fillId="0" borderId="3" xfId="21" applyNumberFormat="1" applyFont="1" applyBorder="1" applyAlignment="1" applyProtection="1">
      <alignment horizontal="right"/>
      <protection/>
    </xf>
    <xf numFmtId="1" fontId="6" fillId="0" borderId="2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 quotePrefix="1">
      <alignment horizontal="center"/>
      <protection/>
    </xf>
    <xf numFmtId="1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 applyProtection="1" quotePrefix="1">
      <alignment horizontal="center"/>
      <protection/>
    </xf>
    <xf numFmtId="3" fontId="14" fillId="0" borderId="2" xfId="21" applyNumberFormat="1" applyFont="1" applyBorder="1" applyAlignment="1" quotePrefix="1">
      <alignment horizontal="center"/>
    </xf>
    <xf numFmtId="0" fontId="5" fillId="0" borderId="11" xfId="0" applyFont="1" applyFill="1" applyBorder="1" applyAlignment="1">
      <alignment horizontal="right"/>
    </xf>
    <xf numFmtId="0" fontId="0" fillId="0" borderId="4" xfId="0" applyBorder="1" applyAlignment="1">
      <alignment/>
    </xf>
    <xf numFmtId="174" fontId="6" fillId="0" borderId="0" xfId="21" applyNumberFormat="1" applyFont="1" applyBorder="1" applyAlignment="1">
      <alignment horizontal="right"/>
    </xf>
    <xf numFmtId="171" fontId="6" fillId="0" borderId="0" xfId="21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74" fontId="6" fillId="0" borderId="12" xfId="21" applyNumberFormat="1" applyFont="1" applyBorder="1" applyAlignment="1" applyProtection="1">
      <alignment horizontal="right"/>
      <protection/>
    </xf>
    <xf numFmtId="174" fontId="6" fillId="4" borderId="12" xfId="21" applyNumberFormat="1" applyFont="1" applyFill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174" fontId="6" fillId="0" borderId="3" xfId="21" applyNumberFormat="1" applyFont="1" applyBorder="1" applyAlignment="1" applyProtection="1">
      <alignment horizontal="right"/>
      <protection/>
    </xf>
    <xf numFmtId="3" fontId="5" fillId="0" borderId="4" xfId="0" applyNumberFormat="1" applyFont="1" applyBorder="1" applyAlignment="1">
      <alignment/>
    </xf>
    <xf numFmtId="175" fontId="6" fillId="0" borderId="12" xfId="21" applyNumberFormat="1" applyFont="1" applyBorder="1" applyAlignment="1" applyProtection="1">
      <alignment horizontal="right"/>
      <protection/>
    </xf>
    <xf numFmtId="1" fontId="17" fillId="4" borderId="12" xfId="21" applyNumberFormat="1" applyFont="1" applyFill="1" applyBorder="1" applyAlignment="1" applyProtection="1">
      <alignment horizontal="right"/>
      <protection/>
    </xf>
    <xf numFmtId="171" fontId="6" fillId="0" borderId="3" xfId="21" applyFont="1" applyBorder="1" applyAlignment="1" applyProtection="1">
      <alignment horizontal="right"/>
      <protection/>
    </xf>
    <xf numFmtId="175" fontId="6" fillId="0" borderId="11" xfId="21" applyNumberFormat="1" applyFont="1" applyBorder="1" applyAlignment="1" applyProtection="1">
      <alignment horizontal="right"/>
      <protection/>
    </xf>
    <xf numFmtId="3" fontId="9" fillId="4" borderId="11" xfId="21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4" borderId="11" xfId="0" applyNumberFormat="1" applyFont="1" applyFill="1" applyBorder="1" applyAlignment="1" applyProtection="1">
      <alignment horizontal="right"/>
      <protection/>
    </xf>
    <xf numFmtId="177" fontId="6" fillId="0" borderId="3" xfId="0" applyNumberFormat="1" applyFont="1" applyBorder="1" applyAlignment="1" applyProtection="1">
      <alignment horizontal="right"/>
      <protection/>
    </xf>
    <xf numFmtId="0" fontId="6" fillId="0" borderId="4" xfId="0" applyFont="1" applyBorder="1" applyAlignment="1">
      <alignment/>
    </xf>
    <xf numFmtId="4" fontId="6" fillId="0" borderId="3" xfId="21" applyNumberFormat="1" applyFont="1" applyBorder="1" applyAlignment="1" applyProtection="1">
      <alignment horizontal="right"/>
      <protection/>
    </xf>
    <xf numFmtId="187" fontId="6" fillId="0" borderId="3" xfId="21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1" fontId="10" fillId="0" borderId="0" xfId="21" applyNumberFormat="1" applyFont="1" applyAlignment="1">
      <alignment/>
    </xf>
    <xf numFmtId="0" fontId="10" fillId="0" borderId="0" xfId="0" applyFont="1" applyAlignment="1">
      <alignment/>
    </xf>
    <xf numFmtId="2" fontId="6" fillId="0" borderId="4" xfId="21" applyNumberFormat="1" applyFont="1" applyBorder="1" applyAlignment="1" applyProtection="1">
      <alignment horizontal="center"/>
      <protection/>
    </xf>
    <xf numFmtId="2" fontId="6" fillId="0" borderId="5" xfId="21" applyNumberFormat="1" applyFont="1" applyBorder="1" applyAlignment="1" applyProtection="1">
      <alignment horizontal="center"/>
      <protection/>
    </xf>
    <xf numFmtId="49" fontId="1" fillId="0" borderId="0" xfId="16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Normal_II-C  CSG 200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5" zoomScaleSheetLayoutView="75" workbookViewId="0" topLeftCell="A1">
      <selection activeCell="D8" sqref="D8"/>
    </sheetView>
  </sheetViews>
  <sheetFormatPr defaultColWidth="9.00390625" defaultRowHeight="12.75"/>
  <cols>
    <col min="1" max="1" width="49.125" style="2" customWidth="1"/>
    <col min="2" max="2" width="11.75390625" style="1" hidden="1" customWidth="1"/>
    <col min="3" max="3" width="11.75390625" style="1" customWidth="1"/>
    <col min="4" max="4" width="12.75390625" style="235" customWidth="1"/>
    <col min="5" max="5" width="11.00390625" style="2" customWidth="1"/>
    <col min="6" max="6" width="12.00390625" style="10" customWidth="1"/>
    <col min="7" max="16384" width="9.125" style="2" customWidth="1"/>
  </cols>
  <sheetData>
    <row r="1" spans="1:4" ht="15.75">
      <c r="A1" s="12"/>
      <c r="D1" s="298" t="s">
        <v>173</v>
      </c>
    </row>
    <row r="4" spans="1:4" ht="12.75">
      <c r="A4" s="13" t="s">
        <v>2</v>
      </c>
      <c r="D4" s="236"/>
    </row>
    <row r="5" spans="1:4" ht="12.75">
      <c r="A5" s="13" t="s">
        <v>121</v>
      </c>
      <c r="D5" s="236"/>
    </row>
    <row r="6" spans="1:4" ht="12.75">
      <c r="A6" s="14"/>
      <c r="D6" s="236"/>
    </row>
    <row r="7" spans="1:4" ht="12.75">
      <c r="A7" s="13"/>
      <c r="D7" s="236"/>
    </row>
    <row r="8" spans="1:4" ht="12.75">
      <c r="A8" s="13"/>
      <c r="D8" s="236"/>
    </row>
    <row r="9" spans="1:3" ht="14.25">
      <c r="A9" s="12" t="s">
        <v>3</v>
      </c>
      <c r="B9" s="3" t="s">
        <v>4</v>
      </c>
      <c r="C9" s="3"/>
    </row>
    <row r="10" spans="1:3" ht="12.75">
      <c r="A10" s="4" t="s">
        <v>5</v>
      </c>
      <c r="B10" s="5">
        <v>1</v>
      </c>
      <c r="C10" s="26"/>
    </row>
    <row r="11" spans="1:6" s="6" customFormat="1" ht="25.5">
      <c r="A11" s="96"/>
      <c r="B11" s="7" t="s">
        <v>6</v>
      </c>
      <c r="C11" s="7" t="s">
        <v>6</v>
      </c>
      <c r="D11" s="237" t="s">
        <v>158</v>
      </c>
      <c r="F11" s="11"/>
    </row>
    <row r="12" spans="1:4" ht="12.75">
      <c r="A12" s="8" t="s">
        <v>8</v>
      </c>
      <c r="B12" s="9">
        <v>0.0333</v>
      </c>
      <c r="C12" s="9">
        <f aca="true" t="shared" si="0" ref="C12:C18">+B12-(B12*1.3/100)</f>
        <v>0.0328671</v>
      </c>
      <c r="D12" s="238">
        <v>25</v>
      </c>
    </row>
    <row r="13" spans="1:4" ht="12.75">
      <c r="A13" s="8" t="s">
        <v>97</v>
      </c>
      <c r="B13" s="9">
        <v>0.004</v>
      </c>
      <c r="C13" s="9">
        <f t="shared" si="0"/>
        <v>0.003948</v>
      </c>
      <c r="D13" s="238">
        <v>33</v>
      </c>
    </row>
    <row r="14" spans="1:5" ht="12.75">
      <c r="A14" s="78" t="s">
        <v>98</v>
      </c>
      <c r="B14" s="79">
        <v>0.0041</v>
      </c>
      <c r="C14" s="79">
        <f t="shared" si="0"/>
        <v>0.0040467</v>
      </c>
      <c r="D14" s="239">
        <v>35</v>
      </c>
      <c r="E14" s="80"/>
    </row>
    <row r="15" spans="1:4" ht="12.75">
      <c r="A15" s="8" t="s">
        <v>99</v>
      </c>
      <c r="B15" s="9">
        <v>0.0033</v>
      </c>
      <c r="C15" s="9">
        <f t="shared" si="0"/>
        <v>0.0032571</v>
      </c>
      <c r="D15" s="238">
        <v>33</v>
      </c>
    </row>
    <row r="16" spans="1:4" ht="12.75">
      <c r="A16" s="8" t="s">
        <v>9</v>
      </c>
      <c r="B16" s="9">
        <v>0.0618</v>
      </c>
      <c r="C16" s="9">
        <f t="shared" si="0"/>
        <v>0.0609966</v>
      </c>
      <c r="D16" s="238">
        <v>20</v>
      </c>
    </row>
    <row r="17" spans="1:4" ht="12.75">
      <c r="A17" s="8" t="s">
        <v>10</v>
      </c>
      <c r="B17" s="9">
        <v>0.0392</v>
      </c>
      <c r="C17" s="9">
        <f t="shared" si="0"/>
        <v>0.0386904</v>
      </c>
      <c r="D17" s="238">
        <v>15</v>
      </c>
    </row>
    <row r="18" spans="1:4" ht="12.75">
      <c r="A18" s="8" t="s">
        <v>11</v>
      </c>
      <c r="B18" s="9">
        <v>0.0005</v>
      </c>
      <c r="C18" s="9">
        <f t="shared" si="0"/>
        <v>0.0004935</v>
      </c>
      <c r="D18" s="238">
        <v>53</v>
      </c>
    </row>
    <row r="19" spans="1:4" ht="21.75" customHeight="1">
      <c r="A19" s="149" t="s">
        <v>159</v>
      </c>
      <c r="B19" s="150">
        <f>SUM(B12:B18)</f>
        <v>0.1462</v>
      </c>
      <c r="C19" s="150">
        <f>SUM(C12:C18)</f>
        <v>0.1442994</v>
      </c>
      <c r="D19" s="240">
        <v>22</v>
      </c>
    </row>
    <row r="21" spans="1:3" ht="14.25">
      <c r="A21" s="12" t="s">
        <v>13</v>
      </c>
      <c r="B21" s="3"/>
      <c r="C21" s="3"/>
    </row>
    <row r="22" spans="1:3" ht="12.75" hidden="1">
      <c r="A22" s="4" t="s">
        <v>5</v>
      </c>
      <c r="B22" s="5">
        <v>1</v>
      </c>
      <c r="C22" s="26"/>
    </row>
    <row r="23" spans="1:4" ht="25.5">
      <c r="A23" s="96"/>
      <c r="B23" s="7" t="s">
        <v>14</v>
      </c>
      <c r="C23" s="7" t="s">
        <v>6</v>
      </c>
      <c r="D23" s="237" t="s">
        <v>158</v>
      </c>
    </row>
    <row r="24" spans="1:4" ht="12.75">
      <c r="A24" s="8" t="s">
        <v>15</v>
      </c>
      <c r="B24" s="9">
        <v>0.05</v>
      </c>
      <c r="C24" s="9">
        <f aca="true" t="shared" si="1" ref="C24:C30">+B24-(B24*1.3/100)</f>
        <v>0.049350000000000005</v>
      </c>
      <c r="D24" s="238">
        <v>25</v>
      </c>
    </row>
    <row r="25" spans="1:4" ht="12.75">
      <c r="A25" s="8" t="s">
        <v>100</v>
      </c>
      <c r="B25" s="9">
        <v>0.0105</v>
      </c>
      <c r="C25" s="9">
        <f t="shared" si="1"/>
        <v>0.010363500000000001</v>
      </c>
      <c r="D25" s="238">
        <v>33</v>
      </c>
    </row>
    <row r="26" spans="1:4" ht="12.75">
      <c r="A26" s="78" t="s">
        <v>101</v>
      </c>
      <c r="B26" s="9">
        <v>0.0067</v>
      </c>
      <c r="C26" s="9">
        <f t="shared" si="1"/>
        <v>0.0066129000000000005</v>
      </c>
      <c r="D26" s="239">
        <v>35</v>
      </c>
    </row>
    <row r="27" spans="1:4" ht="12.75">
      <c r="A27" s="8" t="s">
        <v>102</v>
      </c>
      <c r="B27" s="9">
        <v>0.0037</v>
      </c>
      <c r="C27" s="9">
        <f t="shared" si="1"/>
        <v>0.0036519</v>
      </c>
      <c r="D27" s="238">
        <v>33</v>
      </c>
    </row>
    <row r="28" spans="1:4" ht="12.75">
      <c r="A28" s="8" t="s">
        <v>16</v>
      </c>
      <c r="B28" s="9">
        <v>0.1101</v>
      </c>
      <c r="C28" s="9">
        <f t="shared" si="1"/>
        <v>0.10866870000000001</v>
      </c>
      <c r="D28" s="238">
        <v>20</v>
      </c>
    </row>
    <row r="29" spans="1:4" ht="12.75">
      <c r="A29" s="8" t="s">
        <v>17</v>
      </c>
      <c r="B29" s="9">
        <v>0.0275</v>
      </c>
      <c r="C29" s="9">
        <f t="shared" si="1"/>
        <v>0.0271425</v>
      </c>
      <c r="D29" s="238">
        <v>15</v>
      </c>
    </row>
    <row r="30" spans="1:4" ht="12.75">
      <c r="A30" s="8" t="s">
        <v>11</v>
      </c>
      <c r="B30" s="9">
        <v>0.0005</v>
      </c>
      <c r="C30" s="9">
        <f t="shared" si="1"/>
        <v>0.0004935</v>
      </c>
      <c r="D30" s="238">
        <v>53</v>
      </c>
    </row>
    <row r="31" spans="1:4" ht="21.75" customHeight="1">
      <c r="A31" s="149" t="s">
        <v>159</v>
      </c>
      <c r="B31" s="150">
        <f>SUM(B24:B30)</f>
        <v>0.209</v>
      </c>
      <c r="C31" s="150">
        <f>SUM(C24:C30)</f>
        <v>0.20628300000000002</v>
      </c>
      <c r="D31" s="240">
        <v>23</v>
      </c>
    </row>
    <row r="33" ht="14.25">
      <c r="A33" s="12" t="s">
        <v>18</v>
      </c>
    </row>
    <row r="34" spans="1:3" ht="12.75" hidden="1">
      <c r="A34" s="4" t="s">
        <v>5</v>
      </c>
      <c r="B34" s="5">
        <v>1</v>
      </c>
      <c r="C34" s="26"/>
    </row>
    <row r="35" spans="1:4" ht="25.5">
      <c r="A35" s="96"/>
      <c r="B35" s="7" t="s">
        <v>6</v>
      </c>
      <c r="C35" s="7" t="s">
        <v>6</v>
      </c>
      <c r="D35" s="237" t="s">
        <v>158</v>
      </c>
    </row>
    <row r="36" spans="1:4" ht="12.75">
      <c r="A36" s="8" t="s">
        <v>19</v>
      </c>
      <c r="B36" s="9">
        <v>0.1</v>
      </c>
      <c r="C36" s="9">
        <f aca="true" t="shared" si="2" ref="C36:C41">+B36-(B36*1.3/100)</f>
        <v>0.09870000000000001</v>
      </c>
      <c r="D36" s="238">
        <v>25</v>
      </c>
    </row>
    <row r="37" spans="1:4" ht="12.75">
      <c r="A37" s="8" t="s">
        <v>103</v>
      </c>
      <c r="B37" s="9">
        <v>0.0067</v>
      </c>
      <c r="C37" s="9">
        <f t="shared" si="2"/>
        <v>0.0066129000000000005</v>
      </c>
      <c r="D37" s="238">
        <v>33</v>
      </c>
    </row>
    <row r="38" spans="1:4" ht="12.75">
      <c r="A38" s="78" t="s">
        <v>104</v>
      </c>
      <c r="B38" s="79">
        <v>0.0333</v>
      </c>
      <c r="C38" s="79">
        <f t="shared" si="2"/>
        <v>0.0328671</v>
      </c>
      <c r="D38" s="239">
        <v>35</v>
      </c>
    </row>
    <row r="39" spans="1:4" ht="12.75">
      <c r="A39" s="8" t="s">
        <v>105</v>
      </c>
      <c r="B39" s="9">
        <v>0.01</v>
      </c>
      <c r="C39" s="9">
        <f t="shared" si="2"/>
        <v>0.00987</v>
      </c>
      <c r="D39" s="238">
        <v>33</v>
      </c>
    </row>
    <row r="40" spans="1:4" ht="12.75">
      <c r="A40" s="8" t="s">
        <v>20</v>
      </c>
      <c r="B40" s="9">
        <v>0.1404</v>
      </c>
      <c r="C40" s="9">
        <f t="shared" si="2"/>
        <v>0.1385748</v>
      </c>
      <c r="D40" s="238">
        <v>20</v>
      </c>
    </row>
    <row r="41" spans="1:4" ht="12.75">
      <c r="A41" s="8" t="s">
        <v>11</v>
      </c>
      <c r="B41" s="9">
        <v>0.0005</v>
      </c>
      <c r="C41" s="9">
        <f t="shared" si="2"/>
        <v>0.0004935</v>
      </c>
      <c r="D41" s="238">
        <v>53</v>
      </c>
    </row>
    <row r="42" spans="1:4" ht="23.25" customHeight="1">
      <c r="A42" s="149" t="s">
        <v>159</v>
      </c>
      <c r="B42" s="150">
        <f>SUM(B36:B41)</f>
        <v>0.2909</v>
      </c>
      <c r="C42" s="150">
        <f>SUM(C36:C41)</f>
        <v>0.2871183</v>
      </c>
      <c r="D42" s="240">
        <v>25</v>
      </c>
    </row>
  </sheetData>
  <printOptions horizontalCentered="1"/>
  <pageMargins left="0.52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8"/>
  <sheetViews>
    <sheetView view="pageBreakPreview" zoomScaleSheetLayoutView="100" workbookViewId="0" topLeftCell="A63">
      <pane xSplit="1" topLeftCell="B1" activePane="topRight" state="frozen"/>
      <selection pane="topLeft" activeCell="A18" sqref="A18"/>
      <selection pane="topRight" activeCell="J12" sqref="J12:J14"/>
    </sheetView>
  </sheetViews>
  <sheetFormatPr defaultColWidth="24.75390625" defaultRowHeight="12.75"/>
  <cols>
    <col min="1" max="1" width="22.75390625" style="15" customWidth="1"/>
    <col min="2" max="2" width="11.375" style="38" customWidth="1"/>
    <col min="3" max="3" width="12.75390625" style="27" customWidth="1"/>
    <col min="4" max="4" width="9.375" style="51" customWidth="1"/>
    <col min="5" max="5" width="9.25390625" style="51" hidden="1" customWidth="1"/>
    <col min="6" max="6" width="8.875" style="15" hidden="1" customWidth="1"/>
    <col min="7" max="7" width="10.125" style="27" customWidth="1"/>
    <col min="8" max="8" width="9.125" style="27" hidden="1" customWidth="1"/>
    <col min="9" max="10" width="12.625" style="27" customWidth="1"/>
    <col min="11" max="11" width="9.375" style="27" customWidth="1"/>
    <col min="12" max="12" width="13.75390625" style="38" hidden="1" customWidth="1"/>
    <col min="13" max="13" width="12.875" style="38" hidden="1" customWidth="1"/>
    <col min="14" max="14" width="13.25390625" style="38" hidden="1" customWidth="1"/>
    <col min="15" max="15" width="15.125" style="38" hidden="1" customWidth="1"/>
    <col min="16" max="16" width="13.625" style="38" hidden="1" customWidth="1"/>
    <col min="17" max="18" width="9.25390625" style="15" hidden="1" customWidth="1"/>
    <col min="19" max="20" width="9.75390625" style="15" hidden="1" customWidth="1"/>
    <col min="21" max="21" width="9.25390625" style="15" hidden="1" customWidth="1"/>
    <col min="22" max="22" width="10.75390625" style="15" hidden="1" customWidth="1"/>
    <col min="23" max="23" width="11.375" style="15" hidden="1" customWidth="1"/>
    <col min="24" max="25" width="13.00390625" style="151" customWidth="1"/>
    <col min="26" max="26" width="10.375" style="15" customWidth="1"/>
    <col min="27" max="27" width="12.00390625" style="25" customWidth="1"/>
    <col min="28" max="16384" width="24.75390625" style="15" customWidth="1"/>
  </cols>
  <sheetData>
    <row r="1" ht="15.75">
      <c r="Y1" s="299" t="s">
        <v>174</v>
      </c>
    </row>
    <row r="2" spans="1:6" ht="12.75">
      <c r="A2" s="13" t="s">
        <v>184</v>
      </c>
      <c r="C2" s="49"/>
      <c r="D2" s="50"/>
      <c r="E2" s="50"/>
      <c r="F2" s="38"/>
    </row>
    <row r="3" spans="1:27" s="52" customFormat="1" ht="11.25">
      <c r="A3" s="15"/>
      <c r="L3" s="15"/>
      <c r="X3" s="152"/>
      <c r="Y3" s="152"/>
      <c r="AA3" s="73"/>
    </row>
    <row r="4" spans="1:2" ht="11.25">
      <c r="A4" s="53"/>
      <c r="B4" s="54"/>
    </row>
    <row r="5" spans="1:2" ht="11.25">
      <c r="A5" s="53"/>
      <c r="B5" s="54"/>
    </row>
    <row r="6" spans="1:2" ht="11.25">
      <c r="A6" s="53" t="s">
        <v>21</v>
      </c>
      <c r="B6" s="54"/>
    </row>
    <row r="7" spans="1:27" s="17" customFormat="1" ht="33.75">
      <c r="A7" s="16" t="s">
        <v>143</v>
      </c>
      <c r="B7" s="39" t="s">
        <v>22</v>
      </c>
      <c r="C7" s="28" t="s">
        <v>23</v>
      </c>
      <c r="D7" s="55" t="s">
        <v>123</v>
      </c>
      <c r="E7" s="252" t="s">
        <v>125</v>
      </c>
      <c r="F7" s="16" t="s">
        <v>24</v>
      </c>
      <c r="G7" s="28" t="s">
        <v>24</v>
      </c>
      <c r="H7" s="28" t="s">
        <v>24</v>
      </c>
      <c r="I7" s="28" t="s">
        <v>25</v>
      </c>
      <c r="J7" s="28" t="s">
        <v>128</v>
      </c>
      <c r="K7" s="28" t="s">
        <v>26</v>
      </c>
      <c r="L7" s="39" t="s">
        <v>27</v>
      </c>
      <c r="M7" s="39" t="s">
        <v>28</v>
      </c>
      <c r="N7" s="39" t="s">
        <v>28</v>
      </c>
      <c r="O7" s="39" t="s">
        <v>28</v>
      </c>
      <c r="P7" s="39" t="s">
        <v>29</v>
      </c>
      <c r="Q7" s="16" t="s">
        <v>30</v>
      </c>
      <c r="R7" s="16" t="s">
        <v>127</v>
      </c>
      <c r="S7" s="16" t="s">
        <v>31</v>
      </c>
      <c r="T7" s="16" t="s">
        <v>32</v>
      </c>
      <c r="U7" s="16" t="s">
        <v>33</v>
      </c>
      <c r="V7" s="16" t="s">
        <v>34</v>
      </c>
      <c r="W7" s="16" t="s">
        <v>35</v>
      </c>
      <c r="X7" s="153" t="s">
        <v>146</v>
      </c>
      <c r="Y7" s="153" t="s">
        <v>168</v>
      </c>
      <c r="Z7" s="16" t="s">
        <v>36</v>
      </c>
      <c r="AA7" s="74"/>
    </row>
    <row r="8" spans="1:27" s="17" customFormat="1" ht="11.25">
      <c r="A8" s="18" t="s">
        <v>37</v>
      </c>
      <c r="B8" s="40"/>
      <c r="C8" s="29" t="s">
        <v>38</v>
      </c>
      <c r="D8" s="56" t="s">
        <v>124</v>
      </c>
      <c r="E8" s="56" t="s">
        <v>126</v>
      </c>
      <c r="F8" s="18" t="s">
        <v>39</v>
      </c>
      <c r="G8" s="29" t="s">
        <v>40</v>
      </c>
      <c r="H8" s="29" t="s">
        <v>41</v>
      </c>
      <c r="I8" s="29" t="s">
        <v>42</v>
      </c>
      <c r="J8" s="29" t="s">
        <v>42</v>
      </c>
      <c r="K8" s="29"/>
      <c r="L8" s="40" t="s">
        <v>29</v>
      </c>
      <c r="M8" s="40" t="s">
        <v>43</v>
      </c>
      <c r="N8" s="40" t="s">
        <v>44</v>
      </c>
      <c r="O8" s="40" t="s">
        <v>43</v>
      </c>
      <c r="P8" s="40" t="s">
        <v>45</v>
      </c>
      <c r="Q8" s="18" t="s">
        <v>46</v>
      </c>
      <c r="R8" s="18"/>
      <c r="S8" s="18"/>
      <c r="T8" s="18"/>
      <c r="U8" s="18"/>
      <c r="V8" s="18"/>
      <c r="W8" s="18"/>
      <c r="X8" s="154" t="s">
        <v>47</v>
      </c>
      <c r="Y8" s="154"/>
      <c r="Z8" s="18" t="s">
        <v>48</v>
      </c>
      <c r="AA8" s="74"/>
    </row>
    <row r="9" spans="1:27" s="17" customFormat="1" ht="33.75">
      <c r="A9" s="57" t="s">
        <v>144</v>
      </c>
      <c r="B9" s="41" t="s">
        <v>145</v>
      </c>
      <c r="C9" s="41" t="s">
        <v>145</v>
      </c>
      <c r="D9" s="58"/>
      <c r="E9" s="58"/>
      <c r="F9" s="19"/>
      <c r="G9" s="30"/>
      <c r="H9" s="30"/>
      <c r="I9" s="30"/>
      <c r="J9" s="30"/>
      <c r="K9" s="30"/>
      <c r="L9" s="41"/>
      <c r="M9" s="41" t="s">
        <v>49</v>
      </c>
      <c r="N9" s="41" t="s">
        <v>50</v>
      </c>
      <c r="O9" s="41" t="s">
        <v>51</v>
      </c>
      <c r="P9" s="41"/>
      <c r="Q9" s="19"/>
      <c r="R9" s="19"/>
      <c r="S9" s="19" t="s">
        <v>52</v>
      </c>
      <c r="T9" s="19"/>
      <c r="U9" s="19" t="s">
        <v>53</v>
      </c>
      <c r="V9" s="19" t="s">
        <v>54</v>
      </c>
      <c r="W9" s="19" t="s">
        <v>54</v>
      </c>
      <c r="X9" s="155" t="s">
        <v>147</v>
      </c>
      <c r="Y9" s="155" t="s">
        <v>169</v>
      </c>
      <c r="Z9" s="155" t="s">
        <v>147</v>
      </c>
      <c r="AA9" s="74"/>
    </row>
    <row r="10" spans="1:27" s="271" customFormat="1" ht="11.25">
      <c r="A10" s="269"/>
      <c r="B10" s="184" t="s">
        <v>55</v>
      </c>
      <c r="C10" s="184" t="s">
        <v>56</v>
      </c>
      <c r="D10" s="184" t="s">
        <v>57</v>
      </c>
      <c r="E10" s="184"/>
      <c r="F10" s="184"/>
      <c r="G10" s="184">
        <v>4</v>
      </c>
      <c r="H10" s="184"/>
      <c r="I10" s="185" t="s">
        <v>60</v>
      </c>
      <c r="J10" s="185">
        <v>7</v>
      </c>
      <c r="K10" s="185">
        <v>8</v>
      </c>
      <c r="L10" s="184"/>
      <c r="M10" s="184"/>
      <c r="N10" s="185"/>
      <c r="O10" s="185"/>
      <c r="P10" s="184"/>
      <c r="Q10" s="269"/>
      <c r="R10" s="269"/>
      <c r="S10" s="269"/>
      <c r="T10" s="269"/>
      <c r="U10" s="269"/>
      <c r="V10" s="269"/>
      <c r="W10" s="269"/>
      <c r="X10" s="269">
        <v>9</v>
      </c>
      <c r="Y10" s="269" t="s">
        <v>170</v>
      </c>
      <c r="Z10" s="272" t="s">
        <v>178</v>
      </c>
      <c r="AA10" s="270"/>
    </row>
    <row r="11" spans="1:28" ht="11.25">
      <c r="A11" s="63" t="s">
        <v>66</v>
      </c>
      <c r="B11" s="43">
        <f>B12+B13+B14</f>
        <v>109500</v>
      </c>
      <c r="C11" s="32">
        <f>C12+C13+C14</f>
        <v>63.77</v>
      </c>
      <c r="D11" s="64"/>
      <c r="E11" s="64"/>
      <c r="F11" s="32"/>
      <c r="G11" s="32"/>
      <c r="H11" s="32"/>
      <c r="I11" s="32"/>
      <c r="J11" s="32"/>
      <c r="K11" s="32"/>
      <c r="L11" s="43">
        <f aca="true" t="shared" si="0" ref="L11:Y11">L12+L13+L14</f>
        <v>816193.89</v>
      </c>
      <c r="M11" s="43">
        <f t="shared" si="0"/>
        <v>52562.886516</v>
      </c>
      <c r="N11" s="43">
        <f t="shared" si="0"/>
        <v>98269.744356</v>
      </c>
      <c r="O11" s="43">
        <f t="shared" si="0"/>
        <v>16323.8778</v>
      </c>
      <c r="P11" s="43">
        <f t="shared" si="0"/>
        <v>983350.3986719999</v>
      </c>
      <c r="Q11" s="21">
        <f t="shared" si="0"/>
        <v>224697</v>
      </c>
      <c r="R11" s="21"/>
      <c r="S11" s="21">
        <f t="shared" si="0"/>
        <v>226108.151247</v>
      </c>
      <c r="T11" s="21">
        <f t="shared" si="0"/>
        <v>13217</v>
      </c>
      <c r="U11" s="21">
        <f t="shared" si="0"/>
        <v>158320</v>
      </c>
      <c r="V11" s="21">
        <f t="shared" si="0"/>
        <v>65898</v>
      </c>
      <c r="W11" s="21">
        <f t="shared" si="0"/>
        <v>24838</v>
      </c>
      <c r="X11" s="156">
        <f t="shared" si="0"/>
        <v>1471731.549919</v>
      </c>
      <c r="Y11" s="156">
        <f t="shared" si="0"/>
        <v>1434938.2611710248</v>
      </c>
      <c r="Z11" s="170">
        <f>ROUND((+Y11)/B11,5)</f>
        <v>13.10446</v>
      </c>
      <c r="AA11" s="37"/>
      <c r="AB11" s="186"/>
    </row>
    <row r="12" spans="1:27" ht="18" customHeight="1">
      <c r="A12" s="63" t="s">
        <v>67</v>
      </c>
      <c r="B12" s="43">
        <f>365*100</f>
        <v>36500</v>
      </c>
      <c r="C12" s="32">
        <v>14.43</v>
      </c>
      <c r="D12" s="253">
        <v>22</v>
      </c>
      <c r="E12" s="254">
        <v>11971</v>
      </c>
      <c r="F12" s="32">
        <v>6.44</v>
      </c>
      <c r="G12" s="32">
        <v>12.04</v>
      </c>
      <c r="H12" s="32">
        <f>$H$15*100</f>
        <v>2</v>
      </c>
      <c r="I12" s="34">
        <f>1.56*$I$15</f>
        <v>1.6614935999999998</v>
      </c>
      <c r="J12" s="300">
        <f>0.0121*$J$15</f>
        <v>0.012887225999999998</v>
      </c>
      <c r="K12" s="32">
        <f>0.07*$K$15</f>
        <v>0.0745542</v>
      </c>
      <c r="L12" s="43">
        <f>+C12*E12</f>
        <v>172741.53</v>
      </c>
      <c r="M12" s="43">
        <f>+L12*F12/100</f>
        <v>11124.554532000002</v>
      </c>
      <c r="N12" s="43">
        <f>+L12*G12/100</f>
        <v>20798.080211999997</v>
      </c>
      <c r="O12" s="43">
        <f>+L12*H12/100</f>
        <v>3454.8306</v>
      </c>
      <c r="P12" s="43">
        <f>SUM(L12:O12)</f>
        <v>208118.995344</v>
      </c>
      <c r="Q12" s="21">
        <f>ROUND(B12*I12*Q$15/100,0)</f>
        <v>60645</v>
      </c>
      <c r="R12" s="21">
        <f>+B12*J12</f>
        <v>470.3837489999999</v>
      </c>
      <c r="S12" s="21">
        <f>Q12+R12</f>
        <v>61115.383749</v>
      </c>
      <c r="T12" s="21">
        <f>ROUND(B12*K12*T$15/100,0)</f>
        <v>2721</v>
      </c>
      <c r="U12" s="21">
        <f>ROUND(P12*U$15,0)</f>
        <v>33507</v>
      </c>
      <c r="V12" s="21">
        <f>ROUND(C12*V$15,0)</f>
        <v>14912</v>
      </c>
      <c r="W12" s="21">
        <f>ROUND(C12*W$15,0)</f>
        <v>5620</v>
      </c>
      <c r="X12" s="156">
        <f>P12+S12+T12+U12+V12+W12</f>
        <v>325994.37909299997</v>
      </c>
      <c r="Y12" s="156">
        <f>+X12*0.975</f>
        <v>317844.519615675</v>
      </c>
      <c r="Z12" s="170">
        <f>ROUND((+Y12)/B12,5)</f>
        <v>8.70807</v>
      </c>
      <c r="AA12" s="37"/>
    </row>
    <row r="13" spans="1:27" ht="11.25">
      <c r="A13" s="63" t="s">
        <v>68</v>
      </c>
      <c r="B13" s="43">
        <f>365*100</f>
        <v>36500</v>
      </c>
      <c r="C13" s="32">
        <v>20.63</v>
      </c>
      <c r="D13" s="253">
        <v>23</v>
      </c>
      <c r="E13" s="254">
        <v>12450</v>
      </c>
      <c r="F13" s="32">
        <v>6.44</v>
      </c>
      <c r="G13" s="32">
        <v>12.04</v>
      </c>
      <c r="H13" s="32">
        <f>$H$15*100</f>
        <v>2</v>
      </c>
      <c r="I13" s="34">
        <f>2.11*$I$15</f>
        <v>2.2472765999999997</v>
      </c>
      <c r="J13" s="300">
        <f>0.0121*$J$15</f>
        <v>0.012887225999999998</v>
      </c>
      <c r="K13" s="32">
        <f>0.11*$K$15</f>
        <v>0.11715659999999999</v>
      </c>
      <c r="L13" s="43">
        <f>+C13*E13</f>
        <v>256843.5</v>
      </c>
      <c r="M13" s="43">
        <f>+L13*F13/100</f>
        <v>16540.721400000002</v>
      </c>
      <c r="N13" s="43">
        <f>+L13*G13/100</f>
        <v>30923.9574</v>
      </c>
      <c r="O13" s="43">
        <f>+L13*H13/100</f>
        <v>5136.87</v>
      </c>
      <c r="P13" s="43">
        <f>SUM(L13:O13)</f>
        <v>309445.0488</v>
      </c>
      <c r="Q13" s="21">
        <f>ROUND(B13*I13*Q$15/100,0)</f>
        <v>82026</v>
      </c>
      <c r="R13" s="21">
        <f>+B13*J13</f>
        <v>470.3837489999999</v>
      </c>
      <c r="S13" s="21">
        <f>Q13+R13</f>
        <v>82496.383749</v>
      </c>
      <c r="T13" s="21">
        <f>ROUND(B13*K13*T$15/100,0)</f>
        <v>4276</v>
      </c>
      <c r="U13" s="21">
        <f>ROUND(P13*U$15,0)</f>
        <v>49821</v>
      </c>
      <c r="V13" s="21">
        <f>ROUND(C13*V$15,0)</f>
        <v>21318</v>
      </c>
      <c r="W13" s="21">
        <f>ROUND(C13*W$15,0)</f>
        <v>8035</v>
      </c>
      <c r="X13" s="156">
        <f>P13+S13+T13+U13+V13+W13</f>
        <v>475391.432549</v>
      </c>
      <c r="Y13" s="156">
        <f>+X13*0.975</f>
        <v>463506.646735275</v>
      </c>
      <c r="Z13" s="170">
        <f>ROUND((+Y13)/B13,5)</f>
        <v>12.69881</v>
      </c>
      <c r="AA13" s="37"/>
    </row>
    <row r="14" spans="1:27" ht="11.25">
      <c r="A14" s="65" t="s">
        <v>69</v>
      </c>
      <c r="B14" s="44">
        <f>365*100</f>
        <v>36500</v>
      </c>
      <c r="C14" s="33">
        <v>28.71</v>
      </c>
      <c r="D14" s="255">
        <v>25</v>
      </c>
      <c r="E14" s="223">
        <v>13466</v>
      </c>
      <c r="F14" s="33">
        <v>6.44</v>
      </c>
      <c r="G14" s="33">
        <v>12.04</v>
      </c>
      <c r="H14" s="33">
        <f>$H$15*100</f>
        <v>2</v>
      </c>
      <c r="I14" s="33">
        <f>2.11*$I$15</f>
        <v>2.2472765999999997</v>
      </c>
      <c r="J14" s="301">
        <f>0.0121*$J$15</f>
        <v>0.012887225999999998</v>
      </c>
      <c r="K14" s="33">
        <f>0.16*$K$15</f>
        <v>0.1704096</v>
      </c>
      <c r="L14" s="44">
        <f>+C14*E14</f>
        <v>386608.86</v>
      </c>
      <c r="M14" s="44">
        <f>+L14*F14/100</f>
        <v>24897.610584</v>
      </c>
      <c r="N14" s="44">
        <f>+L14*G14/100</f>
        <v>46547.706743999996</v>
      </c>
      <c r="O14" s="44">
        <f>+L14*H14/100</f>
        <v>7732.1772</v>
      </c>
      <c r="P14" s="44">
        <f>SUM(L14:O14)</f>
        <v>465786.35452799994</v>
      </c>
      <c r="Q14" s="22">
        <f>ROUND(B14*I14*Q$15/100,0)</f>
        <v>82026</v>
      </c>
      <c r="R14" s="22">
        <f>+B14*J14</f>
        <v>470.3837489999999</v>
      </c>
      <c r="S14" s="22">
        <f>Q14+R14</f>
        <v>82496.383749</v>
      </c>
      <c r="T14" s="22">
        <f>ROUND(B14*K14*T$15/100,0)</f>
        <v>6220</v>
      </c>
      <c r="U14" s="22">
        <f>ROUND(P14*U$15,0)</f>
        <v>74992</v>
      </c>
      <c r="V14" s="22">
        <f>ROUND(C14*V$15,0)</f>
        <v>29668</v>
      </c>
      <c r="W14" s="22">
        <f>ROUND(C14*W$15,0)</f>
        <v>11183</v>
      </c>
      <c r="X14" s="157">
        <f>P14+S14+T14+U14+V14+W14</f>
        <v>670345.7382769999</v>
      </c>
      <c r="Y14" s="157">
        <f>+X14*0.975</f>
        <v>653587.0948200749</v>
      </c>
      <c r="Z14" s="173">
        <f>ROUND((+Y14)/B14,5)</f>
        <v>17.9065</v>
      </c>
      <c r="AA14" s="37"/>
    </row>
    <row r="15" spans="2:27" ht="11.25" hidden="1">
      <c r="B15" s="45"/>
      <c r="C15" s="34"/>
      <c r="D15" s="67"/>
      <c r="E15" s="67"/>
      <c r="F15" s="250">
        <v>0.0644</v>
      </c>
      <c r="G15" s="250">
        <v>0.1204</v>
      </c>
      <c r="H15" s="251">
        <v>0.02</v>
      </c>
      <c r="I15" s="221">
        <v>1.06506</v>
      </c>
      <c r="J15" s="221">
        <v>1.06506</v>
      </c>
      <c r="K15" s="221">
        <v>1.06506</v>
      </c>
      <c r="L15" s="77"/>
      <c r="M15" s="45"/>
      <c r="N15" s="45"/>
      <c r="O15" s="45"/>
      <c r="P15" s="45"/>
      <c r="Q15" s="23">
        <v>100</v>
      </c>
      <c r="R15" s="23">
        <v>100</v>
      </c>
      <c r="S15" s="23"/>
      <c r="T15" s="23">
        <v>100</v>
      </c>
      <c r="U15" s="89">
        <v>0.161</v>
      </c>
      <c r="V15" s="247">
        <v>1033.37</v>
      </c>
      <c r="W15" s="248">
        <v>389.5</v>
      </c>
      <c r="X15" s="158"/>
      <c r="Y15" s="158"/>
      <c r="Z15" s="171"/>
      <c r="AA15" s="76"/>
    </row>
    <row r="16" spans="2:26" ht="11.25">
      <c r="B16" s="47"/>
      <c r="C16" s="34"/>
      <c r="D16" s="70"/>
      <c r="E16" s="70"/>
      <c r="I16" s="249"/>
      <c r="J16" s="249"/>
      <c r="K16" s="71"/>
      <c r="L16" s="46"/>
      <c r="M16" s="46"/>
      <c r="N16" s="46"/>
      <c r="O16" s="46"/>
      <c r="P16" s="45"/>
      <c r="T16" s="24"/>
      <c r="Z16" s="172"/>
    </row>
    <row r="17" spans="2:26" ht="11.25">
      <c r="B17" s="47"/>
      <c r="C17" s="34"/>
      <c r="D17" s="70"/>
      <c r="E17" s="70"/>
      <c r="I17" s="34"/>
      <c r="J17" s="34"/>
      <c r="K17" s="71"/>
      <c r="L17" s="46"/>
      <c r="M17" s="46"/>
      <c r="N17" s="46"/>
      <c r="O17" s="46"/>
      <c r="T17" s="24"/>
      <c r="Z17" s="172"/>
    </row>
    <row r="18" spans="2:26" ht="11.25">
      <c r="B18" s="47"/>
      <c r="C18" s="34"/>
      <c r="D18" s="70"/>
      <c r="E18" s="70"/>
      <c r="I18" s="34"/>
      <c r="J18" s="34"/>
      <c r="K18" s="71"/>
      <c r="L18" s="46"/>
      <c r="M18" s="46"/>
      <c r="N18" s="46"/>
      <c r="O18" s="46"/>
      <c r="T18" s="24"/>
      <c r="Z18" s="172"/>
    </row>
    <row r="19" spans="2:26" ht="11.25">
      <c r="B19" s="47"/>
      <c r="C19" s="34"/>
      <c r="D19" s="70"/>
      <c r="E19" s="70"/>
      <c r="I19" s="70"/>
      <c r="J19" s="70"/>
      <c r="K19" s="71"/>
      <c r="L19" s="46"/>
      <c r="M19" s="46"/>
      <c r="N19" s="46"/>
      <c r="O19" s="46"/>
      <c r="T19" s="24"/>
      <c r="Z19" s="172"/>
    </row>
    <row r="20" spans="1:26" ht="11.25">
      <c r="A20" s="53" t="s">
        <v>70</v>
      </c>
      <c r="B20" s="54"/>
      <c r="Z20" s="172"/>
    </row>
    <row r="21" spans="1:27" s="17" customFormat="1" ht="33.75">
      <c r="A21" s="16" t="s">
        <v>143</v>
      </c>
      <c r="B21" s="39" t="s">
        <v>22</v>
      </c>
      <c r="C21" s="28" t="s">
        <v>23</v>
      </c>
      <c r="D21" s="55" t="s">
        <v>123</v>
      </c>
      <c r="E21" s="252" t="s">
        <v>125</v>
      </c>
      <c r="F21" s="16" t="s">
        <v>24</v>
      </c>
      <c r="G21" s="28" t="s">
        <v>24</v>
      </c>
      <c r="H21" s="28" t="s">
        <v>24</v>
      </c>
      <c r="I21" s="28" t="s">
        <v>25</v>
      </c>
      <c r="J21" s="28" t="s">
        <v>128</v>
      </c>
      <c r="K21" s="28" t="s">
        <v>26</v>
      </c>
      <c r="L21" s="39" t="s">
        <v>27</v>
      </c>
      <c r="M21" s="39" t="s">
        <v>28</v>
      </c>
      <c r="N21" s="39" t="s">
        <v>28</v>
      </c>
      <c r="O21" s="39" t="s">
        <v>28</v>
      </c>
      <c r="P21" s="39" t="s">
        <v>29</v>
      </c>
      <c r="Q21" s="16" t="s">
        <v>30</v>
      </c>
      <c r="R21" s="16" t="s">
        <v>127</v>
      </c>
      <c r="S21" s="16" t="s">
        <v>31</v>
      </c>
      <c r="T21" s="16" t="s">
        <v>32</v>
      </c>
      <c r="U21" s="16" t="s">
        <v>33</v>
      </c>
      <c r="V21" s="16" t="s">
        <v>34</v>
      </c>
      <c r="W21" s="16" t="s">
        <v>35</v>
      </c>
      <c r="X21" s="153" t="s">
        <v>146</v>
      </c>
      <c r="Y21" s="153" t="s">
        <v>168</v>
      </c>
      <c r="Z21" s="16" t="s">
        <v>36</v>
      </c>
      <c r="AA21" s="74"/>
    </row>
    <row r="22" spans="1:27" s="17" customFormat="1" ht="11.25">
      <c r="A22" s="18" t="s">
        <v>37</v>
      </c>
      <c r="B22" s="40"/>
      <c r="C22" s="29" t="s">
        <v>38</v>
      </c>
      <c r="D22" s="56" t="s">
        <v>124</v>
      </c>
      <c r="E22" s="56" t="s">
        <v>126</v>
      </c>
      <c r="F22" s="18" t="s">
        <v>39</v>
      </c>
      <c r="G22" s="29" t="s">
        <v>40</v>
      </c>
      <c r="H22" s="29" t="s">
        <v>41</v>
      </c>
      <c r="I22" s="29" t="s">
        <v>42</v>
      </c>
      <c r="J22" s="29" t="s">
        <v>42</v>
      </c>
      <c r="K22" s="29"/>
      <c r="L22" s="40" t="s">
        <v>29</v>
      </c>
      <c r="M22" s="40" t="s">
        <v>43</v>
      </c>
      <c r="N22" s="40" t="s">
        <v>44</v>
      </c>
      <c r="O22" s="40" t="s">
        <v>43</v>
      </c>
      <c r="P22" s="40" t="s">
        <v>45</v>
      </c>
      <c r="Q22" s="18" t="s">
        <v>46</v>
      </c>
      <c r="R22" s="18"/>
      <c r="S22" s="18"/>
      <c r="T22" s="18"/>
      <c r="U22" s="18"/>
      <c r="V22" s="18"/>
      <c r="W22" s="18"/>
      <c r="X22" s="154" t="s">
        <v>47</v>
      </c>
      <c r="Y22" s="154"/>
      <c r="Z22" s="18" t="s">
        <v>48</v>
      </c>
      <c r="AA22" s="74"/>
    </row>
    <row r="23" spans="1:27" s="17" customFormat="1" ht="33.75">
      <c r="A23" s="57" t="s">
        <v>144</v>
      </c>
      <c r="B23" s="41" t="s">
        <v>145</v>
      </c>
      <c r="C23" s="41" t="s">
        <v>145</v>
      </c>
      <c r="D23" s="58"/>
      <c r="E23" s="58"/>
      <c r="F23" s="19"/>
      <c r="G23" s="30"/>
      <c r="H23" s="30"/>
      <c r="I23" s="30"/>
      <c r="J23" s="30"/>
      <c r="K23" s="30"/>
      <c r="L23" s="41"/>
      <c r="M23" s="41" t="s">
        <v>49</v>
      </c>
      <c r="N23" s="41" t="s">
        <v>50</v>
      </c>
      <c r="O23" s="41" t="s">
        <v>51</v>
      </c>
      <c r="P23" s="41"/>
      <c r="Q23" s="19"/>
      <c r="R23" s="19"/>
      <c r="S23" s="19" t="s">
        <v>52</v>
      </c>
      <c r="T23" s="19"/>
      <c r="U23" s="19" t="s">
        <v>53</v>
      </c>
      <c r="V23" s="19" t="s">
        <v>54</v>
      </c>
      <c r="W23" s="19" t="s">
        <v>54</v>
      </c>
      <c r="X23" s="155" t="s">
        <v>147</v>
      </c>
      <c r="Y23" s="155" t="s">
        <v>169</v>
      </c>
      <c r="Z23" s="155" t="s">
        <v>147</v>
      </c>
      <c r="AA23" s="74"/>
    </row>
    <row r="24" spans="1:27" s="271" customFormat="1" ht="11.25">
      <c r="A24" s="269"/>
      <c r="B24" s="184" t="s">
        <v>55</v>
      </c>
      <c r="C24" s="184" t="s">
        <v>56</v>
      </c>
      <c r="D24" s="184" t="s">
        <v>57</v>
      </c>
      <c r="E24" s="184"/>
      <c r="F24" s="184"/>
      <c r="G24" s="184">
        <v>4</v>
      </c>
      <c r="H24" s="184"/>
      <c r="I24" s="185" t="s">
        <v>60</v>
      </c>
      <c r="J24" s="185">
        <v>7</v>
      </c>
      <c r="K24" s="185">
        <v>8</v>
      </c>
      <c r="L24" s="184"/>
      <c r="M24" s="184"/>
      <c r="N24" s="185"/>
      <c r="O24" s="185"/>
      <c r="P24" s="184"/>
      <c r="Q24" s="269"/>
      <c r="R24" s="269"/>
      <c r="S24" s="269"/>
      <c r="T24" s="269"/>
      <c r="U24" s="269"/>
      <c r="V24" s="269"/>
      <c r="W24" s="269"/>
      <c r="X24" s="269">
        <v>9</v>
      </c>
      <c r="Y24" s="269" t="s">
        <v>170</v>
      </c>
      <c r="Z24" s="272" t="s">
        <v>178</v>
      </c>
      <c r="AA24" s="270"/>
    </row>
    <row r="25" spans="1:27" ht="11.25">
      <c r="A25" s="63" t="s">
        <v>66</v>
      </c>
      <c r="B25" s="43">
        <f>B26+B27+B28</f>
        <v>109500</v>
      </c>
      <c r="C25" s="32">
        <f>C26+C27+C28</f>
        <v>63.77</v>
      </c>
      <c r="D25" s="64"/>
      <c r="E25" s="64"/>
      <c r="F25" s="32"/>
      <c r="G25" s="32"/>
      <c r="H25" s="32"/>
      <c r="I25" s="32"/>
      <c r="J25" s="32"/>
      <c r="K25" s="32"/>
      <c r="L25" s="43">
        <f aca="true" t="shared" si="1" ref="L25:Y25">L26+L27+L28</f>
        <v>816193.89</v>
      </c>
      <c r="M25" s="43">
        <f t="shared" si="1"/>
        <v>52562.886516</v>
      </c>
      <c r="N25" s="43">
        <f t="shared" si="1"/>
        <v>226167.326919</v>
      </c>
      <c r="O25" s="43">
        <f t="shared" si="1"/>
        <v>16323.8778</v>
      </c>
      <c r="P25" s="43">
        <f t="shared" si="1"/>
        <v>1111247.9812349998</v>
      </c>
      <c r="Q25" s="21">
        <f t="shared" si="1"/>
        <v>224697</v>
      </c>
      <c r="R25" s="21"/>
      <c r="S25" s="21">
        <f t="shared" si="1"/>
        <v>226108.151247</v>
      </c>
      <c r="T25" s="21">
        <f t="shared" si="1"/>
        <v>13217</v>
      </c>
      <c r="U25" s="21">
        <f t="shared" si="1"/>
        <v>178910</v>
      </c>
      <c r="V25" s="21">
        <f t="shared" si="1"/>
        <v>65898</v>
      </c>
      <c r="W25" s="21">
        <f t="shared" si="1"/>
        <v>24838</v>
      </c>
      <c r="X25" s="156">
        <f t="shared" si="1"/>
        <v>1620219.1324820002</v>
      </c>
      <c r="Y25" s="156">
        <f t="shared" si="1"/>
        <v>1579713.65416995</v>
      </c>
      <c r="Z25" s="170">
        <f>ROUND((+Y25)/B25,5)</f>
        <v>14.42661</v>
      </c>
      <c r="AA25" s="37"/>
    </row>
    <row r="26" spans="1:28" ht="18" customHeight="1">
      <c r="A26" s="63" t="s">
        <v>67</v>
      </c>
      <c r="B26" s="43">
        <f>365*100</f>
        <v>36500</v>
      </c>
      <c r="C26" s="32">
        <f>+C12</f>
        <v>14.43</v>
      </c>
      <c r="D26" s="253">
        <v>22</v>
      </c>
      <c r="E26" s="254">
        <f>E12</f>
        <v>11971</v>
      </c>
      <c r="F26" s="32">
        <v>6.44</v>
      </c>
      <c r="G26" s="32">
        <v>27.71</v>
      </c>
      <c r="H26" s="32">
        <f>$H$29*100</f>
        <v>2</v>
      </c>
      <c r="I26" s="32">
        <f aca="true" t="shared" si="2" ref="I26:K28">+I12</f>
        <v>1.6614935999999998</v>
      </c>
      <c r="J26" s="34">
        <f>+J12</f>
        <v>0.012887225999999998</v>
      </c>
      <c r="K26" s="32">
        <f t="shared" si="2"/>
        <v>0.0745542</v>
      </c>
      <c r="L26" s="43">
        <f>+C26*E26</f>
        <v>172741.53</v>
      </c>
      <c r="M26" s="43">
        <f>+L26*F26/100</f>
        <v>11124.554532000002</v>
      </c>
      <c r="N26" s="43">
        <f>+L26*G26/100</f>
        <v>47866.677963</v>
      </c>
      <c r="O26" s="43">
        <f>+L26*H26/100</f>
        <v>3454.8306</v>
      </c>
      <c r="P26" s="43">
        <f>SUM(L26:O26)</f>
        <v>235187.593095</v>
      </c>
      <c r="Q26" s="21">
        <f>ROUND(B26*I26*Q$15/100,0)</f>
        <v>60645</v>
      </c>
      <c r="R26" s="21">
        <f>+B26*J26</f>
        <v>470.3837489999999</v>
      </c>
      <c r="S26" s="21">
        <f>Q26+R26</f>
        <v>61115.383749</v>
      </c>
      <c r="T26" s="21">
        <f>ROUND(B26*K26*T$15/100,0)</f>
        <v>2721</v>
      </c>
      <c r="U26" s="21">
        <f>ROUND(P26*U$15,0)</f>
        <v>37865</v>
      </c>
      <c r="V26" s="21">
        <f>ROUND(C26*V$15,0)</f>
        <v>14912</v>
      </c>
      <c r="W26" s="21">
        <f>ROUND(C26*W$15,0)</f>
        <v>5620</v>
      </c>
      <c r="X26" s="156">
        <f>P26+S26+T26+U26+V26+W26</f>
        <v>357420.976844</v>
      </c>
      <c r="Y26" s="156">
        <f>+X26*0.975</f>
        <v>348485.4524229</v>
      </c>
      <c r="Z26" s="170">
        <f>ROUND((+Y26)/B26,5)</f>
        <v>9.54755</v>
      </c>
      <c r="AA26" s="37"/>
      <c r="AB26" s="187"/>
    </row>
    <row r="27" spans="1:27" ht="11.25">
      <c r="A27" s="63" t="s">
        <v>68</v>
      </c>
      <c r="B27" s="43">
        <f>365*100</f>
        <v>36500</v>
      </c>
      <c r="C27" s="32">
        <f>+C13</f>
        <v>20.63</v>
      </c>
      <c r="D27" s="253">
        <v>23</v>
      </c>
      <c r="E27" s="254">
        <f>E13</f>
        <v>12450</v>
      </c>
      <c r="F27" s="32">
        <v>6.44</v>
      </c>
      <c r="G27" s="32">
        <v>27.71</v>
      </c>
      <c r="H27" s="32">
        <f>$H$29*100</f>
        <v>2</v>
      </c>
      <c r="I27" s="32">
        <f t="shared" si="2"/>
        <v>2.2472765999999997</v>
      </c>
      <c r="J27" s="34">
        <f>+J13</f>
        <v>0.012887225999999998</v>
      </c>
      <c r="K27" s="32">
        <f t="shared" si="2"/>
        <v>0.11715659999999999</v>
      </c>
      <c r="L27" s="43">
        <f>+C27*E27</f>
        <v>256843.5</v>
      </c>
      <c r="M27" s="43">
        <f>+L27*F27/100</f>
        <v>16540.721400000002</v>
      </c>
      <c r="N27" s="43">
        <f>+L27*G27/100</f>
        <v>71171.33385</v>
      </c>
      <c r="O27" s="43">
        <f>+L27*H27/100</f>
        <v>5136.87</v>
      </c>
      <c r="P27" s="43">
        <f>SUM(L27:O27)</f>
        <v>349692.42525</v>
      </c>
      <c r="Q27" s="21">
        <f>ROUND(B27*I27*Q$15/100,0)</f>
        <v>82026</v>
      </c>
      <c r="R27" s="21">
        <f>+B27*J27</f>
        <v>470.3837489999999</v>
      </c>
      <c r="S27" s="21">
        <f>Q27+R27</f>
        <v>82496.383749</v>
      </c>
      <c r="T27" s="21">
        <f>ROUND(B27*K27*T$15/100,0)</f>
        <v>4276</v>
      </c>
      <c r="U27" s="21">
        <f>ROUND(P27*U$15,0)</f>
        <v>56300</v>
      </c>
      <c r="V27" s="21">
        <f>ROUND(C27*V$15,0)</f>
        <v>21318</v>
      </c>
      <c r="W27" s="21">
        <f>ROUND(C27*W$15,0)</f>
        <v>8035</v>
      </c>
      <c r="X27" s="156">
        <f>P27+S27+T27+U27+V27+W27</f>
        <v>522117.808999</v>
      </c>
      <c r="Y27" s="156">
        <f>+X27*0.975</f>
        <v>509064.863774025</v>
      </c>
      <c r="Z27" s="170">
        <f>ROUND((+Y27)/B27,5)</f>
        <v>13.94698</v>
      </c>
      <c r="AA27" s="37"/>
    </row>
    <row r="28" spans="1:27" ht="11.25">
      <c r="A28" s="65" t="s">
        <v>69</v>
      </c>
      <c r="B28" s="44">
        <f>365*100</f>
        <v>36500</v>
      </c>
      <c r="C28" s="33">
        <f>+C14</f>
        <v>28.71</v>
      </c>
      <c r="D28" s="255">
        <v>25</v>
      </c>
      <c r="E28" s="223">
        <f>E14</f>
        <v>13466</v>
      </c>
      <c r="F28" s="33">
        <v>6.44</v>
      </c>
      <c r="G28" s="33">
        <v>27.71</v>
      </c>
      <c r="H28" s="33">
        <f>$H$29*100</f>
        <v>2</v>
      </c>
      <c r="I28" s="33">
        <f t="shared" si="2"/>
        <v>2.2472765999999997</v>
      </c>
      <c r="J28" s="33">
        <f>+J14</f>
        <v>0.012887225999999998</v>
      </c>
      <c r="K28" s="33">
        <f t="shared" si="2"/>
        <v>0.1704096</v>
      </c>
      <c r="L28" s="44">
        <f>+C28*E28</f>
        <v>386608.86</v>
      </c>
      <c r="M28" s="44">
        <f>+L28*F28/100</f>
        <v>24897.610584</v>
      </c>
      <c r="N28" s="44">
        <f>+L28*G28/100</f>
        <v>107129.31510600001</v>
      </c>
      <c r="O28" s="44">
        <f>+L28*H28/100</f>
        <v>7732.1772</v>
      </c>
      <c r="P28" s="44">
        <f>SUM(L28:O28)</f>
        <v>526367.96289</v>
      </c>
      <c r="Q28" s="22">
        <f>ROUND(B28*I28*Q$15/100,0)</f>
        <v>82026</v>
      </c>
      <c r="R28" s="22">
        <f>+B28*J28</f>
        <v>470.3837489999999</v>
      </c>
      <c r="S28" s="22">
        <f>Q28+R28</f>
        <v>82496.383749</v>
      </c>
      <c r="T28" s="22">
        <f>ROUND(B28*K28*T$15/100,0)</f>
        <v>6220</v>
      </c>
      <c r="U28" s="22">
        <f>ROUND(P28*U$15,0)</f>
        <v>84745</v>
      </c>
      <c r="V28" s="22">
        <f>ROUND(C28*V$15,0)</f>
        <v>29668</v>
      </c>
      <c r="W28" s="22">
        <f>ROUND(C28*W$15,0)</f>
        <v>11183</v>
      </c>
      <c r="X28" s="157">
        <f>P28+S28+T28+U28+V28+W28</f>
        <v>740680.346639</v>
      </c>
      <c r="Y28" s="157">
        <f>+X28*0.975</f>
        <v>722163.3379730249</v>
      </c>
      <c r="Z28" s="173">
        <f>ROUND((+Y28)/B28,5)</f>
        <v>19.7853</v>
      </c>
      <c r="AA28" s="37"/>
    </row>
    <row r="29" spans="2:27" ht="11.25" hidden="1">
      <c r="B29" s="45"/>
      <c r="C29" s="34"/>
      <c r="D29" s="67"/>
      <c r="E29" s="67"/>
      <c r="F29" s="90">
        <v>0.0644</v>
      </c>
      <c r="G29" s="90">
        <v>0.2771</v>
      </c>
      <c r="H29" s="90">
        <v>0.02</v>
      </c>
      <c r="I29" s="34"/>
      <c r="J29" s="34"/>
      <c r="K29" s="71"/>
      <c r="L29" s="45"/>
      <c r="M29" s="45"/>
      <c r="N29" s="45"/>
      <c r="O29" s="45"/>
      <c r="P29" s="45"/>
      <c r="Q29" s="23"/>
      <c r="R29" s="23"/>
      <c r="S29" s="23"/>
      <c r="T29" s="23"/>
      <c r="U29" s="23"/>
      <c r="V29" s="23"/>
      <c r="W29" s="23"/>
      <c r="X29" s="158"/>
      <c r="Y29" s="158"/>
      <c r="Z29" s="171"/>
      <c r="AA29" s="76"/>
    </row>
    <row r="30" spans="2:26" ht="11.25" hidden="1">
      <c r="B30" s="47"/>
      <c r="C30" s="34"/>
      <c r="D30" s="70"/>
      <c r="E30" s="70"/>
      <c r="I30" s="35"/>
      <c r="J30" s="35"/>
      <c r="K30" s="71"/>
      <c r="L30" s="46"/>
      <c r="M30" s="46"/>
      <c r="N30" s="46"/>
      <c r="O30" s="46"/>
      <c r="P30" s="45"/>
      <c r="T30" s="24"/>
      <c r="Z30" s="172"/>
    </row>
    <row r="31" spans="2:26" ht="11.25" hidden="1">
      <c r="B31" s="47"/>
      <c r="C31" s="34"/>
      <c r="D31" s="70"/>
      <c r="E31" s="70"/>
      <c r="I31" s="35"/>
      <c r="J31" s="35"/>
      <c r="K31" s="71"/>
      <c r="L31" s="46"/>
      <c r="M31" s="46"/>
      <c r="N31" s="46"/>
      <c r="O31" s="46"/>
      <c r="T31" s="24"/>
      <c r="Z31" s="172"/>
    </row>
    <row r="32" spans="2:26" ht="11.25">
      <c r="B32" s="47"/>
      <c r="C32" s="34"/>
      <c r="D32" s="70"/>
      <c r="E32" s="70"/>
      <c r="I32" s="35"/>
      <c r="J32" s="35"/>
      <c r="K32" s="71"/>
      <c r="L32" s="46"/>
      <c r="M32" s="46"/>
      <c r="N32" s="46"/>
      <c r="O32" s="46"/>
      <c r="T32" s="24"/>
      <c r="Z32" s="172"/>
    </row>
    <row r="33" spans="1:26" ht="11.25">
      <c r="A33" s="15" t="s">
        <v>122</v>
      </c>
      <c r="B33" s="47"/>
      <c r="K33" s="35"/>
      <c r="L33" s="47"/>
      <c r="M33" s="47"/>
      <c r="N33" s="47"/>
      <c r="O33" s="47"/>
      <c r="Q33" s="25"/>
      <c r="R33" s="25"/>
      <c r="Z33" s="172"/>
    </row>
    <row r="34" spans="1:27" s="17" customFormat="1" ht="33.75">
      <c r="A34" s="16" t="s">
        <v>143</v>
      </c>
      <c r="B34" s="39" t="s">
        <v>22</v>
      </c>
      <c r="C34" s="28" t="s">
        <v>23</v>
      </c>
      <c r="D34" s="55" t="s">
        <v>123</v>
      </c>
      <c r="E34" s="252" t="s">
        <v>125</v>
      </c>
      <c r="F34" s="16" t="s">
        <v>24</v>
      </c>
      <c r="G34" s="28" t="s">
        <v>24</v>
      </c>
      <c r="H34" s="28" t="s">
        <v>24</v>
      </c>
      <c r="I34" s="28" t="s">
        <v>25</v>
      </c>
      <c r="J34" s="28" t="s">
        <v>128</v>
      </c>
      <c r="K34" s="28" t="s">
        <v>26</v>
      </c>
      <c r="L34" s="39" t="s">
        <v>27</v>
      </c>
      <c r="M34" s="39" t="s">
        <v>28</v>
      </c>
      <c r="N34" s="39" t="s">
        <v>28</v>
      </c>
      <c r="O34" s="39" t="s">
        <v>28</v>
      </c>
      <c r="P34" s="39" t="s">
        <v>29</v>
      </c>
      <c r="Q34" s="16" t="s">
        <v>30</v>
      </c>
      <c r="R34" s="16" t="s">
        <v>127</v>
      </c>
      <c r="S34" s="16" t="s">
        <v>31</v>
      </c>
      <c r="T34" s="16" t="s">
        <v>32</v>
      </c>
      <c r="U34" s="16" t="s">
        <v>33</v>
      </c>
      <c r="V34" s="16" t="s">
        <v>34</v>
      </c>
      <c r="W34" s="16" t="s">
        <v>35</v>
      </c>
      <c r="X34" s="153" t="s">
        <v>146</v>
      </c>
      <c r="Y34" s="153" t="s">
        <v>168</v>
      </c>
      <c r="Z34" s="16" t="s">
        <v>36</v>
      </c>
      <c r="AA34" s="74"/>
    </row>
    <row r="35" spans="1:27" s="17" customFormat="1" ht="11.25">
      <c r="A35" s="18" t="s">
        <v>37</v>
      </c>
      <c r="B35" s="40"/>
      <c r="C35" s="29" t="s">
        <v>38</v>
      </c>
      <c r="D35" s="56" t="s">
        <v>124</v>
      </c>
      <c r="E35" s="56" t="s">
        <v>126</v>
      </c>
      <c r="F35" s="18" t="s">
        <v>39</v>
      </c>
      <c r="G35" s="29" t="s">
        <v>40</v>
      </c>
      <c r="H35" s="29" t="s">
        <v>41</v>
      </c>
      <c r="I35" s="29" t="s">
        <v>42</v>
      </c>
      <c r="J35" s="29" t="s">
        <v>42</v>
      </c>
      <c r="K35" s="29"/>
      <c r="L35" s="40" t="s">
        <v>29</v>
      </c>
      <c r="M35" s="40" t="s">
        <v>43</v>
      </c>
      <c r="N35" s="40" t="s">
        <v>44</v>
      </c>
      <c r="O35" s="40" t="s">
        <v>43</v>
      </c>
      <c r="P35" s="40" t="s">
        <v>45</v>
      </c>
      <c r="Q35" s="18" t="s">
        <v>46</v>
      </c>
      <c r="R35" s="18"/>
      <c r="S35" s="18"/>
      <c r="T35" s="18"/>
      <c r="U35" s="18"/>
      <c r="V35" s="18"/>
      <c r="W35" s="18"/>
      <c r="X35" s="154" t="s">
        <v>47</v>
      </c>
      <c r="Y35" s="154"/>
      <c r="Z35" s="18" t="s">
        <v>48</v>
      </c>
      <c r="AA35" s="74"/>
    </row>
    <row r="36" spans="1:27" s="17" customFormat="1" ht="33.75">
      <c r="A36" s="57" t="s">
        <v>144</v>
      </c>
      <c r="B36" s="41" t="s">
        <v>145</v>
      </c>
      <c r="C36" s="41" t="s">
        <v>145</v>
      </c>
      <c r="D36" s="58"/>
      <c r="E36" s="58"/>
      <c r="F36" s="19"/>
      <c r="G36" s="30"/>
      <c r="H36" s="30"/>
      <c r="I36" s="30"/>
      <c r="J36" s="30"/>
      <c r="K36" s="30"/>
      <c r="L36" s="41"/>
      <c r="M36" s="41" t="s">
        <v>49</v>
      </c>
      <c r="N36" s="41" t="s">
        <v>50</v>
      </c>
      <c r="O36" s="41" t="s">
        <v>51</v>
      </c>
      <c r="P36" s="41"/>
      <c r="Q36" s="19"/>
      <c r="R36" s="19"/>
      <c r="S36" s="19" t="s">
        <v>52</v>
      </c>
      <c r="T36" s="19"/>
      <c r="U36" s="19" t="s">
        <v>53</v>
      </c>
      <c r="V36" s="19" t="s">
        <v>54</v>
      </c>
      <c r="W36" s="19" t="s">
        <v>54</v>
      </c>
      <c r="X36" s="155" t="s">
        <v>147</v>
      </c>
      <c r="Y36" s="155" t="s">
        <v>169</v>
      </c>
      <c r="Z36" s="155" t="s">
        <v>147</v>
      </c>
      <c r="AA36" s="74"/>
    </row>
    <row r="37" spans="1:27" s="271" customFormat="1" ht="11.25">
      <c r="A37" s="269"/>
      <c r="B37" s="184" t="s">
        <v>55</v>
      </c>
      <c r="C37" s="184" t="s">
        <v>56</v>
      </c>
      <c r="D37" s="184" t="s">
        <v>57</v>
      </c>
      <c r="E37" s="184"/>
      <c r="F37" s="184"/>
      <c r="G37" s="184">
        <v>4</v>
      </c>
      <c r="H37" s="184"/>
      <c r="I37" s="185" t="s">
        <v>60</v>
      </c>
      <c r="J37" s="185">
        <v>7</v>
      </c>
      <c r="K37" s="185">
        <v>8</v>
      </c>
      <c r="L37" s="184"/>
      <c r="M37" s="184"/>
      <c r="N37" s="185"/>
      <c r="O37" s="185"/>
      <c r="P37" s="184"/>
      <c r="Q37" s="269"/>
      <c r="R37" s="269"/>
      <c r="S37" s="269"/>
      <c r="T37" s="269"/>
      <c r="U37" s="269"/>
      <c r="V37" s="269"/>
      <c r="W37" s="269"/>
      <c r="X37" s="269">
        <v>9</v>
      </c>
      <c r="Y37" s="269" t="s">
        <v>170</v>
      </c>
      <c r="Z37" s="272" t="s">
        <v>178</v>
      </c>
      <c r="AA37" s="270"/>
    </row>
    <row r="38" spans="1:27" ht="11.25">
      <c r="A38" s="63" t="s">
        <v>66</v>
      </c>
      <c r="B38" s="43">
        <f>B39+B40+B41</f>
        <v>109500</v>
      </c>
      <c r="C38" s="32">
        <f>C39+C40+C41</f>
        <v>63.77</v>
      </c>
      <c r="D38" s="64"/>
      <c r="E38" s="64"/>
      <c r="F38" s="32"/>
      <c r="G38" s="32"/>
      <c r="H38" s="32"/>
      <c r="I38" s="32"/>
      <c r="J38" s="32"/>
      <c r="K38" s="32"/>
      <c r="L38" s="43">
        <f aca="true" t="shared" si="3" ref="L38:Y38">L39+L40+L41</f>
        <v>816193.89</v>
      </c>
      <c r="M38" s="43">
        <f t="shared" si="3"/>
        <v>52562.886516</v>
      </c>
      <c r="N38" s="43">
        <f t="shared" si="3"/>
        <v>226167.326919</v>
      </c>
      <c r="O38" s="43">
        <f t="shared" si="3"/>
        <v>16323.8778</v>
      </c>
      <c r="P38" s="43">
        <f t="shared" si="3"/>
        <v>1111247.9812349998</v>
      </c>
      <c r="Q38" s="21">
        <f t="shared" si="3"/>
        <v>224697</v>
      </c>
      <c r="R38" s="21"/>
      <c r="S38" s="21">
        <f t="shared" si="3"/>
        <v>226108.151247</v>
      </c>
      <c r="T38" s="21">
        <f t="shared" si="3"/>
        <v>48983</v>
      </c>
      <c r="U38" s="21">
        <f t="shared" si="3"/>
        <v>178910</v>
      </c>
      <c r="V38" s="21">
        <f t="shared" si="3"/>
        <v>65898</v>
      </c>
      <c r="W38" s="21">
        <f t="shared" si="3"/>
        <v>24838</v>
      </c>
      <c r="X38" s="156">
        <f t="shared" si="3"/>
        <v>1655985.1324820002</v>
      </c>
      <c r="Y38" s="156">
        <f t="shared" si="3"/>
        <v>1614585.5041699498</v>
      </c>
      <c r="Z38" s="170">
        <f>ROUND((+Y38)/B38,5)</f>
        <v>14.74507</v>
      </c>
      <c r="AA38" s="37"/>
    </row>
    <row r="39" spans="1:27" ht="18" customHeight="1">
      <c r="A39" s="63" t="s">
        <v>67</v>
      </c>
      <c r="B39" s="43">
        <f>365*100</f>
        <v>36500</v>
      </c>
      <c r="C39" s="32">
        <f>+C26</f>
        <v>14.43</v>
      </c>
      <c r="D39" s="253">
        <v>22</v>
      </c>
      <c r="E39" s="254">
        <f>E12</f>
        <v>11971</v>
      </c>
      <c r="F39" s="32">
        <v>6.44</v>
      </c>
      <c r="G39" s="32">
        <v>27.71</v>
      </c>
      <c r="H39" s="32">
        <f>$H$42*100</f>
        <v>2</v>
      </c>
      <c r="I39" s="32">
        <f aca="true" t="shared" si="4" ref="I39:J41">+I26</f>
        <v>1.6614935999999998</v>
      </c>
      <c r="J39" s="34">
        <f t="shared" si="4"/>
        <v>0.012887225999999998</v>
      </c>
      <c r="K39" s="32">
        <f>0.28*$K$15</f>
        <v>0.2982168</v>
      </c>
      <c r="L39" s="43">
        <f>+C39*E39</f>
        <v>172741.53</v>
      </c>
      <c r="M39" s="43">
        <f>+L39*F39/100</f>
        <v>11124.554532000002</v>
      </c>
      <c r="N39" s="43">
        <f>+L39*G39/100</f>
        <v>47866.677963</v>
      </c>
      <c r="O39" s="43">
        <f>+L39*H39/100</f>
        <v>3454.8306</v>
      </c>
      <c r="P39" s="43">
        <f>SUM(L39:O39)</f>
        <v>235187.593095</v>
      </c>
      <c r="Q39" s="21">
        <f>ROUND(B39*I39*Q$15/100,0)</f>
        <v>60645</v>
      </c>
      <c r="R39" s="21">
        <f>+B39*J39</f>
        <v>470.3837489999999</v>
      </c>
      <c r="S39" s="21">
        <f>Q39+R39</f>
        <v>61115.383749</v>
      </c>
      <c r="T39" s="21">
        <f>ROUND(B39*K39*T$15/100,0)</f>
        <v>10885</v>
      </c>
      <c r="U39" s="21">
        <f>ROUND(P39*U$15,0)</f>
        <v>37865</v>
      </c>
      <c r="V39" s="21">
        <f>ROUND(C39*V$15,0)</f>
        <v>14912</v>
      </c>
      <c r="W39" s="21">
        <f>ROUND(C39*W$15,0)</f>
        <v>5620</v>
      </c>
      <c r="X39" s="156">
        <f>P39+S39+T39+U39+V39+W39</f>
        <v>365584.976844</v>
      </c>
      <c r="Y39" s="156">
        <f>+X39*0.975</f>
        <v>356445.3524229</v>
      </c>
      <c r="Z39" s="170">
        <f>ROUND((+Y39)/B39,5)</f>
        <v>9.76563</v>
      </c>
      <c r="AA39" s="37"/>
    </row>
    <row r="40" spans="1:27" ht="18" customHeight="1">
      <c r="A40" s="63" t="s">
        <v>68</v>
      </c>
      <c r="B40" s="43">
        <f>365*100</f>
        <v>36500</v>
      </c>
      <c r="C40" s="32">
        <f>+C27</f>
        <v>20.63</v>
      </c>
      <c r="D40" s="253">
        <v>23</v>
      </c>
      <c r="E40" s="254">
        <f>E13</f>
        <v>12450</v>
      </c>
      <c r="F40" s="32">
        <v>6.44</v>
      </c>
      <c r="G40" s="32">
        <v>27.71</v>
      </c>
      <c r="H40" s="32">
        <f>$H$42*100</f>
        <v>2</v>
      </c>
      <c r="I40" s="32">
        <f t="shared" si="4"/>
        <v>2.2472765999999997</v>
      </c>
      <c r="J40" s="34">
        <f t="shared" si="4"/>
        <v>0.012887225999999998</v>
      </c>
      <c r="K40" s="32">
        <f>0.41*$K$15</f>
        <v>0.4366745999999999</v>
      </c>
      <c r="L40" s="43">
        <f>+C40*E40</f>
        <v>256843.5</v>
      </c>
      <c r="M40" s="43">
        <f>+L40*F40/100</f>
        <v>16540.721400000002</v>
      </c>
      <c r="N40" s="43">
        <f>+L40*G40/100</f>
        <v>71171.33385</v>
      </c>
      <c r="O40" s="43">
        <f>+L40*H40/100</f>
        <v>5136.87</v>
      </c>
      <c r="P40" s="43">
        <f>SUM(L40:O40)</f>
        <v>349692.42525</v>
      </c>
      <c r="Q40" s="21">
        <f>ROUND(B40*I40*Q$15/100,0)</f>
        <v>82026</v>
      </c>
      <c r="R40" s="21">
        <f>+B40*J40</f>
        <v>470.3837489999999</v>
      </c>
      <c r="S40" s="21">
        <f>Q40+R40</f>
        <v>82496.383749</v>
      </c>
      <c r="T40" s="21">
        <f>ROUND(B40*K40*T$15/100,0)</f>
        <v>15939</v>
      </c>
      <c r="U40" s="21">
        <f>ROUND(P40*U$15,0)</f>
        <v>56300</v>
      </c>
      <c r="V40" s="21">
        <f>ROUND(C40*V$15,0)</f>
        <v>21318</v>
      </c>
      <c r="W40" s="21">
        <f>ROUND(C40*W$15,0)</f>
        <v>8035</v>
      </c>
      <c r="X40" s="156">
        <f>P40+S40+T40+U40+V40+W40</f>
        <v>533780.808999</v>
      </c>
      <c r="Y40" s="156">
        <f>+X40*0.975</f>
        <v>520436.288774025</v>
      </c>
      <c r="Z40" s="170">
        <f>ROUND((+Y40)/B40,5)</f>
        <v>14.25853</v>
      </c>
      <c r="AA40" s="37"/>
    </row>
    <row r="41" spans="1:27" ht="11.25">
      <c r="A41" s="65" t="s">
        <v>69</v>
      </c>
      <c r="B41" s="44">
        <f>365*100</f>
        <v>36500</v>
      </c>
      <c r="C41" s="33">
        <f>+C28</f>
        <v>28.71</v>
      </c>
      <c r="D41" s="255">
        <v>25</v>
      </c>
      <c r="E41" s="223">
        <f>E14</f>
        <v>13466</v>
      </c>
      <c r="F41" s="33">
        <v>6.44</v>
      </c>
      <c r="G41" s="33">
        <v>27.71</v>
      </c>
      <c r="H41" s="33">
        <f>$H$42*100</f>
        <v>2</v>
      </c>
      <c r="I41" s="33">
        <f t="shared" si="4"/>
        <v>2.2472765999999997</v>
      </c>
      <c r="J41" s="66">
        <f t="shared" si="4"/>
        <v>0.012887225999999998</v>
      </c>
      <c r="K41" s="33">
        <f>0.57*$K$15</f>
        <v>0.6070841999999999</v>
      </c>
      <c r="L41" s="44">
        <f>+C41*E41</f>
        <v>386608.86</v>
      </c>
      <c r="M41" s="44">
        <f>+L41*F41/100</f>
        <v>24897.610584</v>
      </c>
      <c r="N41" s="44">
        <f>+L41*G41/100</f>
        <v>107129.31510600001</v>
      </c>
      <c r="O41" s="44">
        <f>+L41*H41/100</f>
        <v>7732.1772</v>
      </c>
      <c r="P41" s="44">
        <f>SUM(L41:O41)</f>
        <v>526367.96289</v>
      </c>
      <c r="Q41" s="22">
        <f>ROUND(B41*I41*Q$15/100,0)</f>
        <v>82026</v>
      </c>
      <c r="R41" s="22">
        <f>+B41*J41</f>
        <v>470.3837489999999</v>
      </c>
      <c r="S41" s="22">
        <f>Q41+R41</f>
        <v>82496.383749</v>
      </c>
      <c r="T41" s="22">
        <f>ROUND(B41*K41*T$15/100,0)</f>
        <v>22159</v>
      </c>
      <c r="U41" s="22">
        <f>ROUND(P41*U$15,0)</f>
        <v>84745</v>
      </c>
      <c r="V41" s="22">
        <f>ROUND(C41*V$15,0)</f>
        <v>29668</v>
      </c>
      <c r="W41" s="22">
        <f>ROUND(C41*W$15,0)</f>
        <v>11183</v>
      </c>
      <c r="X41" s="157">
        <f>P41+S41+T41+U41+V41+W41</f>
        <v>756619.346639</v>
      </c>
      <c r="Y41" s="157">
        <f>+X41*0.975</f>
        <v>737703.862973025</v>
      </c>
      <c r="Z41" s="173">
        <f>ROUND((+Y41)/B41,5)</f>
        <v>20.21106</v>
      </c>
      <c r="AA41" s="37"/>
    </row>
    <row r="42" spans="2:27" ht="11.25" hidden="1">
      <c r="B42" s="45"/>
      <c r="C42" s="34"/>
      <c r="D42" s="67"/>
      <c r="E42" s="67"/>
      <c r="F42" s="90">
        <v>0.0644</v>
      </c>
      <c r="G42" s="90">
        <v>0.2771</v>
      </c>
      <c r="H42" s="90">
        <v>0.02</v>
      </c>
      <c r="I42" s="34"/>
      <c r="J42" s="34"/>
      <c r="K42" s="71"/>
      <c r="L42" s="45"/>
      <c r="M42" s="45"/>
      <c r="N42" s="45"/>
      <c r="O42" s="45"/>
      <c r="P42" s="45"/>
      <c r="Q42" s="23"/>
      <c r="R42" s="23"/>
      <c r="S42" s="23"/>
      <c r="T42" s="23"/>
      <c r="U42" s="23"/>
      <c r="V42" s="23"/>
      <c r="W42" s="23"/>
      <c r="X42" s="158"/>
      <c r="Y42" s="158"/>
      <c r="Z42" s="171"/>
      <c r="AA42" s="76"/>
    </row>
    <row r="43" spans="2:26" ht="11.25">
      <c r="B43" s="47"/>
      <c r="C43" s="34"/>
      <c r="D43" s="70"/>
      <c r="E43" s="70"/>
      <c r="I43" s="35"/>
      <c r="J43" s="35"/>
      <c r="K43" s="34"/>
      <c r="L43" s="46"/>
      <c r="M43" s="46"/>
      <c r="N43" s="46"/>
      <c r="O43" s="46"/>
      <c r="P43" s="45"/>
      <c r="T43" s="24"/>
      <c r="Z43" s="172"/>
    </row>
    <row r="44" spans="2:26" ht="11.25">
      <c r="B44" s="47"/>
      <c r="C44" s="34"/>
      <c r="D44" s="70"/>
      <c r="E44" s="70"/>
      <c r="I44" s="35"/>
      <c r="J44" s="35"/>
      <c r="K44" s="34"/>
      <c r="L44" s="46"/>
      <c r="M44" s="46"/>
      <c r="N44" s="46"/>
      <c r="O44" s="46"/>
      <c r="T44" s="24"/>
      <c r="Z44" s="172"/>
    </row>
    <row r="45" spans="2:26" ht="11.25">
      <c r="B45" s="47"/>
      <c r="K45" s="35"/>
      <c r="L45" s="47"/>
      <c r="M45" s="47"/>
      <c r="N45" s="47"/>
      <c r="O45" s="47"/>
      <c r="T45" s="24"/>
      <c r="Z45" s="172"/>
    </row>
    <row r="46" spans="2:26" ht="11.25">
      <c r="B46" s="47"/>
      <c r="K46" s="35"/>
      <c r="L46" s="47"/>
      <c r="M46" s="47"/>
      <c r="N46" s="47"/>
      <c r="O46" s="47"/>
      <c r="T46" s="24"/>
      <c r="Z46" s="172"/>
    </row>
    <row r="47" spans="2:26" ht="11.25" hidden="1">
      <c r="B47" s="47"/>
      <c r="K47" s="35"/>
      <c r="L47" s="47"/>
      <c r="M47" s="47"/>
      <c r="N47" s="47"/>
      <c r="O47" s="47"/>
      <c r="Q47" s="25"/>
      <c r="R47" s="25"/>
      <c r="Z47" s="172"/>
    </row>
    <row r="48" spans="1:26" ht="11.25" hidden="1">
      <c r="A48" s="15" t="s">
        <v>71</v>
      </c>
      <c r="B48" s="47"/>
      <c r="K48" s="35"/>
      <c r="L48" s="47"/>
      <c r="M48" s="47"/>
      <c r="N48" s="47"/>
      <c r="O48" s="47"/>
      <c r="Q48" s="25"/>
      <c r="R48" s="25"/>
      <c r="Z48" s="172"/>
    </row>
    <row r="49" spans="1:26" ht="12.75" hidden="1">
      <c r="A49" s="15" t="s">
        <v>72</v>
      </c>
      <c r="B49" s="231">
        <v>52437</v>
      </c>
      <c r="K49" s="35"/>
      <c r="L49" s="47"/>
      <c r="M49" s="47"/>
      <c r="N49" s="47"/>
      <c r="O49" s="47"/>
      <c r="Q49" s="25"/>
      <c r="R49" s="25"/>
      <c r="Z49" s="172"/>
    </row>
    <row r="50" spans="1:26" ht="12.75" hidden="1">
      <c r="A50" s="15" t="s">
        <v>73</v>
      </c>
      <c r="B50" s="232">
        <f>+B49*12</f>
        <v>629244</v>
      </c>
      <c r="K50" s="35"/>
      <c r="L50" s="47"/>
      <c r="M50" s="47"/>
      <c r="N50" s="47"/>
      <c r="O50" s="47"/>
      <c r="Q50" s="25"/>
      <c r="R50" s="25"/>
      <c r="Z50" s="172"/>
    </row>
    <row r="51" spans="1:26" ht="12.75" hidden="1">
      <c r="A51" s="15" t="s">
        <v>1</v>
      </c>
      <c r="B51" s="233">
        <v>1.127</v>
      </c>
      <c r="K51" s="35"/>
      <c r="L51" s="47"/>
      <c r="M51" s="47"/>
      <c r="N51" s="47"/>
      <c r="O51" s="47"/>
      <c r="Q51" s="25"/>
      <c r="R51" s="25"/>
      <c r="Z51" s="172"/>
    </row>
    <row r="52" spans="1:26" ht="12.75" hidden="1">
      <c r="A52" s="15" t="s">
        <v>74</v>
      </c>
      <c r="B52" s="91">
        <v>103.48</v>
      </c>
      <c r="C52" s="95"/>
      <c r="K52" s="35"/>
      <c r="L52" s="47"/>
      <c r="M52" s="47"/>
      <c r="N52" s="47"/>
      <c r="O52" s="47"/>
      <c r="Q52" s="25"/>
      <c r="R52" s="25"/>
      <c r="Z52" s="172"/>
    </row>
    <row r="53" spans="1:26" ht="12.75" hidden="1">
      <c r="A53" s="15" t="s">
        <v>75</v>
      </c>
      <c r="B53" s="91">
        <v>104.5</v>
      </c>
      <c r="K53" s="35"/>
      <c r="L53" s="47"/>
      <c r="M53" s="47"/>
      <c r="N53" s="47"/>
      <c r="O53" s="47"/>
      <c r="Q53" s="25"/>
      <c r="R53" s="25"/>
      <c r="Z53" s="172"/>
    </row>
    <row r="54" spans="1:26" ht="12.75" hidden="1">
      <c r="A54" s="15" t="s">
        <v>0</v>
      </c>
      <c r="B54" s="234">
        <v>0.23</v>
      </c>
      <c r="K54" s="35"/>
      <c r="L54" s="47"/>
      <c r="M54" s="47"/>
      <c r="N54" s="47"/>
      <c r="O54" s="47"/>
      <c r="Q54" s="25"/>
      <c r="R54" s="25"/>
      <c r="Z54" s="172"/>
    </row>
    <row r="55" spans="1:26" ht="12.75" hidden="1">
      <c r="A55" s="15" t="s">
        <v>76</v>
      </c>
      <c r="B55" s="232">
        <v>207465</v>
      </c>
      <c r="K55" s="35"/>
      <c r="L55" s="47"/>
      <c r="M55" s="47"/>
      <c r="N55" s="47"/>
      <c r="O55" s="47"/>
      <c r="Q55" s="25"/>
      <c r="R55" s="25"/>
      <c r="Z55" s="172"/>
    </row>
    <row r="56" spans="1:26" ht="12.75" hidden="1">
      <c r="A56" s="15" t="s">
        <v>77</v>
      </c>
      <c r="B56" s="232">
        <v>117300</v>
      </c>
      <c r="K56" s="35"/>
      <c r="L56" s="47"/>
      <c r="M56" s="47"/>
      <c r="N56" s="47"/>
      <c r="O56" s="47"/>
      <c r="Q56" s="25"/>
      <c r="R56" s="25"/>
      <c r="Z56" s="172"/>
    </row>
    <row r="57" spans="1:26" ht="12.75" hidden="1">
      <c r="A57" s="15" t="s">
        <v>78</v>
      </c>
      <c r="B57" s="234">
        <v>0.02</v>
      </c>
      <c r="K57" s="35"/>
      <c r="L57" s="47"/>
      <c r="M57" s="47"/>
      <c r="N57" s="47"/>
      <c r="O57" s="47"/>
      <c r="Q57" s="25"/>
      <c r="R57" s="25"/>
      <c r="Z57" s="172"/>
    </row>
    <row r="58" spans="1:26" ht="12.75" hidden="1">
      <c r="A58" s="15" t="s">
        <v>79</v>
      </c>
      <c r="B58" s="234">
        <v>0.09</v>
      </c>
      <c r="K58" s="35"/>
      <c r="L58" s="47"/>
      <c r="M58" s="47"/>
      <c r="N58" s="47"/>
      <c r="O58" s="47"/>
      <c r="Q58" s="25"/>
      <c r="R58" s="25"/>
      <c r="Z58" s="172"/>
    </row>
    <row r="59" spans="2:26" ht="11.25" hidden="1">
      <c r="B59" s="47"/>
      <c r="K59" s="35"/>
      <c r="L59" s="47"/>
      <c r="M59" s="47"/>
      <c r="N59" s="47"/>
      <c r="O59" s="47"/>
      <c r="Q59" s="25"/>
      <c r="R59" s="25"/>
      <c r="Z59" s="172"/>
    </row>
    <row r="60" spans="2:26" ht="11.25">
      <c r="B60" s="47"/>
      <c r="K60" s="35"/>
      <c r="L60" s="47"/>
      <c r="M60" s="47"/>
      <c r="N60" s="47"/>
      <c r="O60" s="47"/>
      <c r="Q60" s="25"/>
      <c r="R60" s="25"/>
      <c r="Z60" s="172"/>
    </row>
    <row r="61" spans="2:26" ht="11.25">
      <c r="B61" s="47"/>
      <c r="K61" s="35"/>
      <c r="L61" s="47"/>
      <c r="M61" s="47"/>
      <c r="N61" s="47"/>
      <c r="O61" s="47"/>
      <c r="Q61" s="25"/>
      <c r="R61" s="25"/>
      <c r="Z61" s="172"/>
    </row>
    <row r="62" spans="2:26" ht="11.25">
      <c r="B62" s="47"/>
      <c r="K62" s="35"/>
      <c r="L62" s="47"/>
      <c r="M62" s="47"/>
      <c r="N62" s="47"/>
      <c r="O62" s="47"/>
      <c r="Q62" s="25"/>
      <c r="R62" s="25"/>
      <c r="Z62" s="172"/>
    </row>
    <row r="63" spans="2:26" ht="11.25">
      <c r="B63" s="47"/>
      <c r="K63" s="35"/>
      <c r="L63" s="47"/>
      <c r="M63" s="47"/>
      <c r="N63" s="47"/>
      <c r="O63" s="47"/>
      <c r="Q63" s="25"/>
      <c r="R63" s="25"/>
      <c r="Z63" s="172"/>
    </row>
    <row r="64" spans="2:18" ht="11.25">
      <c r="B64" s="47"/>
      <c r="K64" s="35"/>
      <c r="L64" s="47"/>
      <c r="M64" s="47"/>
      <c r="N64" s="47"/>
      <c r="O64" s="47"/>
      <c r="Q64" s="25"/>
      <c r="R64" s="25"/>
    </row>
    <row r="65" spans="2:18" ht="11.25">
      <c r="B65" s="47"/>
      <c r="K65" s="35"/>
      <c r="L65" s="47"/>
      <c r="M65" s="47"/>
      <c r="N65" s="47"/>
      <c r="O65" s="47"/>
      <c r="Q65" s="25"/>
      <c r="R65" s="25"/>
    </row>
    <row r="66" spans="2:18" ht="11.25">
      <c r="B66" s="47"/>
      <c r="K66" s="35"/>
      <c r="L66" s="47"/>
      <c r="M66" s="47"/>
      <c r="N66" s="47"/>
      <c r="O66" s="47"/>
      <c r="Q66" s="25"/>
      <c r="R66" s="25"/>
    </row>
    <row r="67" spans="2:18" ht="11.25">
      <c r="B67" s="47"/>
      <c r="K67" s="35"/>
      <c r="L67" s="47"/>
      <c r="M67" s="47"/>
      <c r="N67" s="47"/>
      <c r="O67" s="47"/>
      <c r="Q67" s="25"/>
      <c r="R67" s="25"/>
    </row>
    <row r="68" spans="2:18" ht="11.25">
      <c r="B68" s="47"/>
      <c r="K68" s="35"/>
      <c r="L68" s="47"/>
      <c r="M68" s="47"/>
      <c r="N68" s="47"/>
      <c r="O68" s="47"/>
      <c r="Q68" s="25"/>
      <c r="R68" s="25"/>
    </row>
    <row r="69" spans="2:18" ht="11.25">
      <c r="B69" s="47"/>
      <c r="K69" s="35"/>
      <c r="L69" s="47"/>
      <c r="M69" s="47"/>
      <c r="N69" s="47"/>
      <c r="O69" s="47"/>
      <c r="Q69" s="25"/>
      <c r="R69" s="25"/>
    </row>
    <row r="70" spans="2:18" ht="11.25">
      <c r="B70" s="47"/>
      <c r="K70" s="35"/>
      <c r="L70" s="47"/>
      <c r="M70" s="47"/>
      <c r="N70" s="47"/>
      <c r="O70" s="47"/>
      <c r="Q70" s="25"/>
      <c r="R70" s="25"/>
    </row>
    <row r="71" spans="2:18" ht="11.25">
      <c r="B71" s="47"/>
      <c r="K71" s="35"/>
      <c r="L71" s="47"/>
      <c r="M71" s="47"/>
      <c r="N71" s="47"/>
      <c r="O71" s="47"/>
      <c r="Q71" s="25"/>
      <c r="R71" s="25"/>
    </row>
    <row r="72" spans="2:18" ht="11.25">
      <c r="B72" s="47"/>
      <c r="K72" s="35"/>
      <c r="L72" s="47"/>
      <c r="M72" s="47"/>
      <c r="N72" s="47"/>
      <c r="O72" s="47"/>
      <c r="Q72" s="25"/>
      <c r="R72" s="25"/>
    </row>
    <row r="73" spans="2:18" ht="11.25">
      <c r="B73" s="47"/>
      <c r="K73" s="35"/>
      <c r="L73" s="47"/>
      <c r="M73" s="47"/>
      <c r="N73" s="47"/>
      <c r="O73" s="47"/>
      <c r="Q73" s="25"/>
      <c r="R73" s="25"/>
    </row>
    <row r="74" spans="2:18" ht="11.25">
      <c r="B74" s="47"/>
      <c r="K74" s="35"/>
      <c r="L74" s="47"/>
      <c r="M74" s="47"/>
      <c r="N74" s="47"/>
      <c r="O74" s="47"/>
      <c r="Q74" s="25"/>
      <c r="R74" s="25"/>
    </row>
    <row r="75" spans="2:18" ht="11.25">
      <c r="B75" s="47"/>
      <c r="K75" s="35"/>
      <c r="L75" s="47"/>
      <c r="M75" s="47"/>
      <c r="N75" s="47"/>
      <c r="O75" s="47"/>
      <c r="Q75" s="25"/>
      <c r="R75" s="25"/>
    </row>
    <row r="76" spans="2:18" ht="11.25">
      <c r="B76" s="47"/>
      <c r="K76" s="35"/>
      <c r="L76" s="47"/>
      <c r="M76" s="47"/>
      <c r="N76" s="47"/>
      <c r="O76" s="47"/>
      <c r="Q76" s="25"/>
      <c r="R76" s="25"/>
    </row>
    <row r="77" spans="2:18" ht="11.25">
      <c r="B77" s="47"/>
      <c r="K77" s="35"/>
      <c r="L77" s="47"/>
      <c r="M77" s="47"/>
      <c r="N77" s="47"/>
      <c r="O77" s="47"/>
      <c r="Q77" s="25"/>
      <c r="R77" s="25"/>
    </row>
    <row r="78" spans="2:18" ht="11.25">
      <c r="B78" s="47"/>
      <c r="K78" s="35"/>
      <c r="L78" s="47"/>
      <c r="M78" s="47"/>
      <c r="N78" s="47"/>
      <c r="O78" s="47"/>
      <c r="Q78" s="25"/>
      <c r="R78" s="25"/>
    </row>
    <row r="79" spans="2:18" ht="11.25">
      <c r="B79" s="47"/>
      <c r="K79" s="35"/>
      <c r="L79" s="47"/>
      <c r="M79" s="47"/>
      <c r="N79" s="47"/>
      <c r="O79" s="47"/>
      <c r="Q79" s="25"/>
      <c r="R79" s="25"/>
    </row>
    <row r="80" spans="2:18" ht="11.25">
      <c r="B80" s="47"/>
      <c r="K80" s="35"/>
      <c r="L80" s="47"/>
      <c r="M80" s="47"/>
      <c r="N80" s="47"/>
      <c r="O80" s="47"/>
      <c r="Q80" s="25"/>
      <c r="R80" s="25"/>
    </row>
    <row r="81" spans="2:18" ht="11.25">
      <c r="B81" s="47"/>
      <c r="K81" s="35"/>
      <c r="L81" s="47"/>
      <c r="M81" s="47"/>
      <c r="N81" s="47"/>
      <c r="O81" s="47"/>
      <c r="Q81" s="25"/>
      <c r="R81" s="25"/>
    </row>
    <row r="82" spans="2:18" ht="11.25">
      <c r="B82" s="47"/>
      <c r="K82" s="35"/>
      <c r="L82" s="47"/>
      <c r="M82" s="47"/>
      <c r="N82" s="47"/>
      <c r="O82" s="47"/>
      <c r="Q82" s="25"/>
      <c r="R82" s="25"/>
    </row>
    <row r="83" spans="2:18" ht="11.25">
      <c r="B83" s="47"/>
      <c r="K83" s="35"/>
      <c r="L83" s="47"/>
      <c r="M83" s="47"/>
      <c r="N83" s="47"/>
      <c r="O83" s="47"/>
      <c r="Q83" s="25"/>
      <c r="R83" s="25"/>
    </row>
    <row r="84" spans="2:15" ht="11.25">
      <c r="B84" s="47"/>
      <c r="K84" s="35"/>
      <c r="L84" s="47"/>
      <c r="M84" s="47"/>
      <c r="N84" s="47"/>
      <c r="O84" s="47"/>
    </row>
    <row r="85" spans="2:15" ht="11.25">
      <c r="B85" s="47"/>
      <c r="K85" s="35"/>
      <c r="L85" s="47"/>
      <c r="M85" s="47"/>
      <c r="N85" s="47"/>
      <c r="O85" s="47"/>
    </row>
    <row r="86" spans="2:15" ht="11.25">
      <c r="B86" s="47"/>
      <c r="K86" s="35"/>
      <c r="L86" s="47"/>
      <c r="M86" s="47"/>
      <c r="N86" s="47"/>
      <c r="O86" s="47"/>
    </row>
    <row r="87" spans="2:15" ht="11.25">
      <c r="B87" s="47"/>
      <c r="K87" s="35"/>
      <c r="L87" s="47"/>
      <c r="M87" s="47"/>
      <c r="N87" s="47"/>
      <c r="O87" s="47"/>
    </row>
    <row r="88" spans="2:15" ht="11.25">
      <c r="B88" s="47"/>
      <c r="K88" s="35"/>
      <c r="L88" s="47"/>
      <c r="M88" s="47"/>
      <c r="N88" s="47"/>
      <c r="O88" s="47"/>
    </row>
    <row r="89" spans="2:15" ht="11.25">
      <c r="B89" s="47"/>
      <c r="K89" s="35"/>
      <c r="L89" s="47"/>
      <c r="M89" s="47"/>
      <c r="N89" s="47"/>
      <c r="O89" s="47"/>
    </row>
    <row r="90" spans="2:15" ht="11.25">
      <c r="B90" s="47"/>
      <c r="K90" s="35"/>
      <c r="L90" s="47"/>
      <c r="M90" s="47"/>
      <c r="N90" s="47"/>
      <c r="O90" s="47"/>
    </row>
    <row r="91" spans="2:15" ht="11.25">
      <c r="B91" s="47"/>
      <c r="K91" s="35"/>
      <c r="L91" s="47"/>
      <c r="M91" s="47"/>
      <c r="N91" s="47"/>
      <c r="O91" s="47"/>
    </row>
    <row r="92" spans="2:15" ht="11.25">
      <c r="B92" s="47"/>
      <c r="K92" s="35"/>
      <c r="L92" s="47"/>
      <c r="M92" s="47"/>
      <c r="N92" s="47"/>
      <c r="O92" s="47"/>
    </row>
    <row r="93" spans="2:15" ht="11.25">
      <c r="B93" s="47"/>
      <c r="K93" s="35"/>
      <c r="L93" s="47"/>
      <c r="M93" s="47"/>
      <c r="N93" s="47"/>
      <c r="O93" s="47"/>
    </row>
    <row r="94" spans="2:15" ht="11.25">
      <c r="B94" s="47"/>
      <c r="K94" s="35"/>
      <c r="L94" s="47"/>
      <c r="M94" s="47"/>
      <c r="N94" s="47"/>
      <c r="O94" s="47"/>
    </row>
    <row r="95" spans="2:15" ht="11.25">
      <c r="B95" s="47"/>
      <c r="K95" s="35"/>
      <c r="L95" s="47"/>
      <c r="M95" s="47"/>
      <c r="N95" s="47"/>
      <c r="O95" s="47"/>
    </row>
    <row r="96" spans="2:15" ht="11.25">
      <c r="B96" s="47"/>
      <c r="K96" s="35"/>
      <c r="L96" s="47"/>
      <c r="M96" s="47"/>
      <c r="N96" s="47"/>
      <c r="O96" s="47"/>
    </row>
    <row r="97" spans="2:15" ht="11.25">
      <c r="B97" s="47"/>
      <c r="K97" s="35"/>
      <c r="L97" s="47"/>
      <c r="M97" s="47"/>
      <c r="N97" s="47"/>
      <c r="O97" s="47"/>
    </row>
    <row r="98" spans="2:15" ht="11.25">
      <c r="B98" s="47"/>
      <c r="K98" s="35"/>
      <c r="L98" s="47"/>
      <c r="M98" s="47"/>
      <c r="N98" s="47"/>
      <c r="O98" s="47"/>
    </row>
    <row r="99" spans="2:15" ht="11.25">
      <c r="B99" s="47"/>
      <c r="K99" s="35"/>
      <c r="L99" s="47"/>
      <c r="M99" s="47"/>
      <c r="N99" s="47"/>
      <c r="O99" s="47"/>
    </row>
    <row r="100" spans="2:15" ht="11.25">
      <c r="B100" s="47"/>
      <c r="K100" s="35"/>
      <c r="L100" s="47"/>
      <c r="M100" s="47"/>
      <c r="N100" s="47"/>
      <c r="O100" s="47"/>
    </row>
    <row r="101" spans="2:15" ht="11.25">
      <c r="B101" s="47"/>
      <c r="K101" s="35"/>
      <c r="L101" s="47"/>
      <c r="M101" s="47"/>
      <c r="N101" s="47"/>
      <c r="O101" s="47"/>
    </row>
    <row r="102" spans="2:15" ht="11.25">
      <c r="B102" s="47"/>
      <c r="K102" s="35"/>
      <c r="L102" s="47"/>
      <c r="M102" s="47"/>
      <c r="N102" s="47"/>
      <c r="O102" s="47"/>
    </row>
    <row r="103" spans="2:15" ht="11.25">
      <c r="B103" s="47"/>
      <c r="K103" s="35"/>
      <c r="L103" s="47"/>
      <c r="M103" s="47"/>
      <c r="N103" s="47"/>
      <c r="O103" s="47"/>
    </row>
    <row r="104" spans="2:15" ht="11.25">
      <c r="B104" s="47"/>
      <c r="K104" s="35"/>
      <c r="L104" s="47"/>
      <c r="M104" s="47"/>
      <c r="N104" s="47"/>
      <c r="O104" s="47"/>
    </row>
    <row r="105" spans="2:15" ht="11.25">
      <c r="B105" s="47"/>
      <c r="K105" s="35"/>
      <c r="L105" s="47"/>
      <c r="M105" s="47"/>
      <c r="N105" s="47"/>
      <c r="O105" s="47"/>
    </row>
    <row r="106" spans="2:15" ht="11.25">
      <c r="B106" s="47"/>
      <c r="K106" s="35"/>
      <c r="L106" s="47"/>
      <c r="M106" s="47"/>
      <c r="N106" s="47"/>
      <c r="O106" s="47"/>
    </row>
    <row r="107" spans="2:15" ht="11.25">
      <c r="B107" s="47"/>
      <c r="K107" s="35"/>
      <c r="L107" s="47"/>
      <c r="M107" s="47"/>
      <c r="N107" s="47"/>
      <c r="O107" s="47"/>
    </row>
    <row r="108" spans="2:15" ht="11.25">
      <c r="B108" s="47"/>
      <c r="K108" s="35"/>
      <c r="L108" s="47"/>
      <c r="M108" s="47"/>
      <c r="N108" s="47"/>
      <c r="O108" s="47"/>
    </row>
    <row r="109" spans="2:15" ht="11.25">
      <c r="B109" s="47"/>
      <c r="K109" s="35"/>
      <c r="L109" s="47"/>
      <c r="M109" s="47"/>
      <c r="N109" s="47"/>
      <c r="O109" s="47"/>
    </row>
    <row r="110" spans="2:15" ht="11.25">
      <c r="B110" s="47"/>
      <c r="K110" s="35"/>
      <c r="L110" s="47"/>
      <c r="M110" s="47"/>
      <c r="N110" s="47"/>
      <c r="O110" s="47"/>
    </row>
    <row r="111" spans="2:15" ht="11.25">
      <c r="B111" s="47"/>
      <c r="K111" s="35"/>
      <c r="L111" s="47"/>
      <c r="M111" s="47"/>
      <c r="N111" s="47"/>
      <c r="O111" s="47"/>
    </row>
    <row r="112" spans="2:15" ht="11.25">
      <c r="B112" s="47"/>
      <c r="K112" s="35"/>
      <c r="L112" s="47"/>
      <c r="M112" s="47"/>
      <c r="N112" s="47"/>
      <c r="O112" s="47"/>
    </row>
    <row r="113" spans="2:15" ht="11.25">
      <c r="B113" s="47"/>
      <c r="K113" s="35"/>
      <c r="L113" s="47"/>
      <c r="M113" s="47"/>
      <c r="N113" s="47"/>
      <c r="O113" s="47"/>
    </row>
    <row r="114" spans="2:15" ht="11.25">
      <c r="B114" s="47"/>
      <c r="K114" s="35"/>
      <c r="L114" s="47"/>
      <c r="M114" s="47"/>
      <c r="N114" s="47"/>
      <c r="O114" s="47"/>
    </row>
    <row r="115" spans="2:15" ht="11.25">
      <c r="B115" s="47"/>
      <c r="K115" s="35"/>
      <c r="L115" s="47"/>
      <c r="M115" s="47"/>
      <c r="N115" s="47"/>
      <c r="O115" s="47"/>
    </row>
    <row r="116" spans="2:15" ht="11.25">
      <c r="B116" s="47"/>
      <c r="K116" s="35"/>
      <c r="L116" s="47"/>
      <c r="M116" s="47"/>
      <c r="N116" s="47"/>
      <c r="O116" s="47"/>
    </row>
    <row r="117" spans="2:15" ht="11.25">
      <c r="B117" s="47"/>
      <c r="K117" s="35"/>
      <c r="L117" s="47"/>
      <c r="M117" s="47"/>
      <c r="N117" s="47"/>
      <c r="O117" s="47"/>
    </row>
    <row r="118" spans="2:15" ht="11.25">
      <c r="B118" s="47"/>
      <c r="K118" s="35"/>
      <c r="L118" s="47"/>
      <c r="M118" s="47"/>
      <c r="N118" s="47"/>
      <c r="O118" s="47"/>
    </row>
    <row r="119" spans="2:15" ht="11.25">
      <c r="B119" s="47"/>
      <c r="K119" s="35"/>
      <c r="L119" s="47"/>
      <c r="M119" s="47"/>
      <c r="N119" s="47"/>
      <c r="O119" s="47"/>
    </row>
    <row r="120" spans="2:15" ht="11.25">
      <c r="B120" s="47"/>
      <c r="K120" s="35"/>
      <c r="L120" s="47"/>
      <c r="M120" s="47"/>
      <c r="N120" s="47"/>
      <c r="O120" s="47"/>
    </row>
    <row r="121" spans="2:15" ht="11.25">
      <c r="B121" s="47"/>
      <c r="K121" s="35"/>
      <c r="L121" s="47"/>
      <c r="M121" s="47"/>
      <c r="N121" s="47"/>
      <c r="O121" s="47"/>
    </row>
    <row r="122" spans="2:15" ht="11.25">
      <c r="B122" s="47"/>
      <c r="K122" s="35"/>
      <c r="L122" s="47"/>
      <c r="M122" s="47"/>
      <c r="N122" s="47"/>
      <c r="O122" s="47"/>
    </row>
    <row r="123" spans="2:15" ht="11.25">
      <c r="B123" s="47"/>
      <c r="K123" s="35"/>
      <c r="L123" s="47"/>
      <c r="M123" s="47"/>
      <c r="N123" s="47"/>
      <c r="O123" s="47"/>
    </row>
    <row r="124" spans="2:15" ht="11.25">
      <c r="B124" s="47"/>
      <c r="K124" s="35"/>
      <c r="L124" s="47"/>
      <c r="M124" s="47"/>
      <c r="N124" s="47"/>
      <c r="O124" s="47"/>
    </row>
    <row r="125" spans="2:15" ht="11.25">
      <c r="B125" s="47"/>
      <c r="K125" s="35"/>
      <c r="L125" s="47"/>
      <c r="M125" s="47"/>
      <c r="N125" s="47"/>
      <c r="O125" s="47"/>
    </row>
    <row r="126" spans="2:15" ht="11.25">
      <c r="B126" s="47"/>
      <c r="K126" s="35"/>
      <c r="L126" s="47"/>
      <c r="M126" s="47"/>
      <c r="N126" s="47"/>
      <c r="O126" s="47"/>
    </row>
    <row r="127" spans="2:15" ht="11.25">
      <c r="B127" s="47"/>
      <c r="K127" s="35"/>
      <c r="L127" s="47"/>
      <c r="M127" s="47"/>
      <c r="N127" s="47"/>
      <c r="O127" s="47"/>
    </row>
    <row r="128" spans="2:15" ht="11.25">
      <c r="B128" s="47"/>
      <c r="K128" s="35"/>
      <c r="L128" s="47"/>
      <c r="M128" s="47"/>
      <c r="N128" s="47"/>
      <c r="O128" s="47"/>
    </row>
    <row r="129" spans="2:15" ht="11.25">
      <c r="B129" s="47"/>
      <c r="K129" s="35"/>
      <c r="L129" s="47"/>
      <c r="M129" s="47"/>
      <c r="N129" s="47"/>
      <c r="O129" s="47"/>
    </row>
    <row r="130" spans="2:15" ht="11.25">
      <c r="B130" s="47"/>
      <c r="K130" s="35"/>
      <c r="L130" s="47"/>
      <c r="M130" s="47"/>
      <c r="N130" s="47"/>
      <c r="O130" s="47"/>
    </row>
    <row r="131" spans="2:15" ht="11.25">
      <c r="B131" s="47"/>
      <c r="K131" s="35"/>
      <c r="L131" s="47"/>
      <c r="M131" s="47"/>
      <c r="N131" s="47"/>
      <c r="O131" s="47"/>
    </row>
    <row r="132" spans="2:15" ht="11.25">
      <c r="B132" s="47"/>
      <c r="K132" s="35"/>
      <c r="L132" s="47"/>
      <c r="M132" s="47"/>
      <c r="N132" s="47"/>
      <c r="O132" s="47"/>
    </row>
    <row r="133" spans="2:15" ht="11.25">
      <c r="B133" s="47"/>
      <c r="K133" s="35"/>
      <c r="L133" s="47"/>
      <c r="M133" s="47"/>
      <c r="N133" s="47"/>
      <c r="O133" s="47"/>
    </row>
    <row r="134" spans="2:15" ht="11.25">
      <c r="B134" s="47"/>
      <c r="K134" s="35"/>
      <c r="L134" s="47"/>
      <c r="M134" s="47"/>
      <c r="N134" s="47"/>
      <c r="O134" s="47"/>
    </row>
    <row r="135" spans="2:15" ht="11.25">
      <c r="B135" s="47"/>
      <c r="K135" s="35"/>
      <c r="L135" s="47"/>
      <c r="M135" s="47"/>
      <c r="N135" s="47"/>
      <c r="O135" s="47"/>
    </row>
    <row r="136" spans="2:15" ht="11.25">
      <c r="B136" s="47"/>
      <c r="K136" s="35"/>
      <c r="L136" s="47"/>
      <c r="M136" s="47"/>
      <c r="N136" s="47"/>
      <c r="O136" s="47"/>
    </row>
    <row r="137" spans="2:15" ht="11.25">
      <c r="B137" s="47"/>
      <c r="K137" s="35"/>
      <c r="L137" s="47"/>
      <c r="M137" s="47"/>
      <c r="N137" s="47"/>
      <c r="O137" s="47"/>
    </row>
    <row r="138" spans="2:15" ht="11.25">
      <c r="B138" s="47"/>
      <c r="K138" s="35"/>
      <c r="L138" s="47"/>
      <c r="M138" s="47"/>
      <c r="N138" s="47"/>
      <c r="O138" s="47"/>
    </row>
    <row r="139" spans="2:15" ht="11.25">
      <c r="B139" s="47"/>
      <c r="K139" s="35"/>
      <c r="L139" s="47"/>
      <c r="M139" s="47"/>
      <c r="N139" s="47"/>
      <c r="O139" s="47"/>
    </row>
    <row r="140" spans="2:15" ht="11.25">
      <c r="B140" s="47"/>
      <c r="K140" s="35"/>
      <c r="L140" s="47"/>
      <c r="M140" s="47"/>
      <c r="N140" s="47"/>
      <c r="O140" s="47"/>
    </row>
    <row r="141" spans="2:15" ht="11.25">
      <c r="B141" s="47"/>
      <c r="K141" s="35"/>
      <c r="L141" s="47"/>
      <c r="M141" s="47"/>
      <c r="N141" s="47"/>
      <c r="O141" s="47"/>
    </row>
    <row r="142" spans="2:15" ht="11.25">
      <c r="B142" s="47"/>
      <c r="K142" s="35"/>
      <c r="L142" s="47"/>
      <c r="M142" s="47"/>
      <c r="N142" s="47"/>
      <c r="O142" s="47"/>
    </row>
    <row r="143" spans="2:15" ht="11.25">
      <c r="B143" s="47"/>
      <c r="K143" s="35"/>
      <c r="L143" s="47"/>
      <c r="M143" s="47"/>
      <c r="N143" s="47"/>
      <c r="O143" s="47"/>
    </row>
    <row r="144" spans="2:15" ht="11.25">
      <c r="B144" s="47"/>
      <c r="K144" s="35"/>
      <c r="L144" s="47"/>
      <c r="M144" s="47"/>
      <c r="N144" s="47"/>
      <c r="O144" s="47"/>
    </row>
    <row r="145" spans="2:15" ht="11.25">
      <c r="B145" s="47"/>
      <c r="K145" s="35"/>
      <c r="L145" s="47"/>
      <c r="M145" s="47"/>
      <c r="N145" s="47"/>
      <c r="O145" s="47"/>
    </row>
    <row r="146" spans="2:15" ht="11.25">
      <c r="B146" s="47"/>
      <c r="K146" s="35"/>
      <c r="L146" s="47"/>
      <c r="M146" s="47"/>
      <c r="N146" s="47"/>
      <c r="O146" s="47"/>
    </row>
    <row r="147" spans="2:15" ht="11.25">
      <c r="B147" s="47"/>
      <c r="K147" s="35"/>
      <c r="L147" s="47"/>
      <c r="M147" s="47"/>
      <c r="N147" s="47"/>
      <c r="O147" s="47"/>
    </row>
    <row r="148" spans="2:15" ht="11.25">
      <c r="B148" s="47"/>
      <c r="K148" s="35"/>
      <c r="L148" s="47"/>
      <c r="M148" s="47"/>
      <c r="N148" s="47"/>
      <c r="O148" s="47"/>
    </row>
    <row r="149" spans="2:15" ht="11.25">
      <c r="B149" s="47"/>
      <c r="K149" s="35"/>
      <c r="L149" s="47"/>
      <c r="M149" s="47"/>
      <c r="N149" s="47"/>
      <c r="O149" s="47"/>
    </row>
    <row r="150" spans="2:15" ht="11.25">
      <c r="B150" s="47"/>
      <c r="K150" s="35"/>
      <c r="L150" s="47"/>
      <c r="M150" s="47"/>
      <c r="N150" s="47"/>
      <c r="O150" s="47"/>
    </row>
    <row r="151" spans="2:15" ht="11.25">
      <c r="B151" s="47"/>
      <c r="K151" s="35"/>
      <c r="L151" s="47"/>
      <c r="M151" s="47"/>
      <c r="N151" s="47"/>
      <c r="O151" s="47"/>
    </row>
    <row r="152" spans="2:15" ht="11.25">
      <c r="B152" s="47"/>
      <c r="K152" s="35"/>
      <c r="L152" s="47"/>
      <c r="M152" s="47"/>
      <c r="N152" s="47"/>
      <c r="O152" s="47"/>
    </row>
    <row r="153" spans="2:15" ht="11.25">
      <c r="B153" s="47"/>
      <c r="K153" s="35"/>
      <c r="L153" s="47"/>
      <c r="M153" s="47"/>
      <c r="N153" s="47"/>
      <c r="O153" s="47"/>
    </row>
    <row r="154" spans="2:15" ht="11.25">
      <c r="B154" s="47"/>
      <c r="K154" s="35"/>
      <c r="L154" s="47"/>
      <c r="M154" s="47"/>
      <c r="N154" s="47"/>
      <c r="O154" s="47"/>
    </row>
    <row r="155" spans="2:15" ht="11.25">
      <c r="B155" s="47"/>
      <c r="K155" s="35"/>
      <c r="L155" s="47"/>
      <c r="M155" s="47"/>
      <c r="N155" s="47"/>
      <c r="O155" s="47"/>
    </row>
    <row r="156" spans="2:15" ht="11.25">
      <c r="B156" s="47"/>
      <c r="K156" s="35"/>
      <c r="L156" s="47"/>
      <c r="M156" s="47"/>
      <c r="N156" s="47"/>
      <c r="O156" s="47"/>
    </row>
    <row r="157" spans="2:15" ht="11.25">
      <c r="B157" s="47"/>
      <c r="K157" s="35"/>
      <c r="L157" s="47"/>
      <c r="M157" s="47"/>
      <c r="N157" s="47"/>
      <c r="O157" s="47"/>
    </row>
    <row r="158" spans="2:15" ht="11.25">
      <c r="B158" s="47"/>
      <c r="K158" s="35"/>
      <c r="L158" s="47"/>
      <c r="M158" s="47"/>
      <c r="N158" s="47"/>
      <c r="O158" s="47"/>
    </row>
    <row r="159" spans="2:15" ht="11.25">
      <c r="B159" s="47"/>
      <c r="K159" s="35"/>
      <c r="L159" s="47"/>
      <c r="M159" s="47"/>
      <c r="N159" s="47"/>
      <c r="O159" s="47"/>
    </row>
    <row r="160" spans="2:15" ht="11.25">
      <c r="B160" s="47"/>
      <c r="K160" s="35"/>
      <c r="L160" s="47"/>
      <c r="M160" s="47"/>
      <c r="N160" s="47"/>
      <c r="O160" s="47"/>
    </row>
    <row r="161" spans="2:15" ht="11.25">
      <c r="B161" s="47"/>
      <c r="K161" s="35"/>
      <c r="L161" s="47"/>
      <c r="M161" s="47"/>
      <c r="N161" s="47"/>
      <c r="O161" s="47"/>
    </row>
    <row r="162" spans="2:15" ht="11.25">
      <c r="B162" s="47"/>
      <c r="K162" s="35"/>
      <c r="L162" s="47"/>
      <c r="M162" s="47"/>
      <c r="N162" s="47"/>
      <c r="O162" s="47"/>
    </row>
    <row r="163" spans="2:15" ht="11.25">
      <c r="B163" s="47"/>
      <c r="K163" s="35"/>
      <c r="L163" s="47"/>
      <c r="M163" s="47"/>
      <c r="N163" s="47"/>
      <c r="O163" s="47"/>
    </row>
    <row r="164" spans="2:15" ht="11.25">
      <c r="B164" s="47"/>
      <c r="K164" s="35"/>
      <c r="L164" s="47"/>
      <c r="M164" s="47"/>
      <c r="N164" s="47"/>
      <c r="O164" s="47"/>
    </row>
    <row r="165" spans="2:15" ht="11.25">
      <c r="B165" s="47"/>
      <c r="K165" s="35"/>
      <c r="L165" s="47"/>
      <c r="M165" s="47"/>
      <c r="N165" s="47"/>
      <c r="O165" s="47"/>
    </row>
    <row r="166" spans="2:15" ht="11.25">
      <c r="B166" s="47"/>
      <c r="K166" s="35"/>
      <c r="L166" s="47"/>
      <c r="M166" s="47"/>
      <c r="N166" s="47"/>
      <c r="O166" s="47"/>
    </row>
    <row r="167" spans="2:15" ht="11.25">
      <c r="B167" s="47"/>
      <c r="K167" s="35"/>
      <c r="L167" s="47"/>
      <c r="M167" s="47"/>
      <c r="N167" s="47"/>
      <c r="O167" s="47"/>
    </row>
    <row r="168" spans="2:15" ht="11.25">
      <c r="B168" s="47"/>
      <c r="K168" s="35"/>
      <c r="L168" s="47"/>
      <c r="M168" s="47"/>
      <c r="N168" s="47"/>
      <c r="O168" s="47"/>
    </row>
    <row r="169" spans="2:15" ht="11.25">
      <c r="B169" s="47"/>
      <c r="K169" s="35"/>
      <c r="L169" s="47"/>
      <c r="M169" s="47"/>
      <c r="N169" s="47"/>
      <c r="O169" s="47"/>
    </row>
    <row r="170" spans="2:15" ht="11.25">
      <c r="B170" s="47"/>
      <c r="K170" s="35"/>
      <c r="L170" s="47"/>
      <c r="M170" s="47"/>
      <c r="N170" s="47"/>
      <c r="O170" s="47"/>
    </row>
    <row r="171" spans="2:15" ht="11.25">
      <c r="B171" s="47"/>
      <c r="K171" s="35"/>
      <c r="L171" s="47"/>
      <c r="M171" s="47"/>
      <c r="N171" s="47"/>
      <c r="O171" s="47"/>
    </row>
    <row r="172" spans="2:15" ht="11.25">
      <c r="B172" s="47"/>
      <c r="K172" s="35"/>
      <c r="L172" s="47"/>
      <c r="M172" s="47"/>
      <c r="N172" s="47"/>
      <c r="O172" s="47"/>
    </row>
    <row r="173" spans="2:15" ht="11.25">
      <c r="B173" s="47"/>
      <c r="K173" s="35"/>
      <c r="L173" s="47"/>
      <c r="M173" s="47"/>
      <c r="N173" s="47"/>
      <c r="O173" s="47"/>
    </row>
    <row r="174" spans="2:15" ht="11.25">
      <c r="B174" s="47"/>
      <c r="K174" s="35"/>
      <c r="L174" s="47"/>
      <c r="M174" s="47"/>
      <c r="N174" s="47"/>
      <c r="O174" s="47"/>
    </row>
    <row r="175" spans="2:15" ht="11.25">
      <c r="B175" s="47"/>
      <c r="K175" s="35"/>
      <c r="L175" s="47"/>
      <c r="M175" s="47"/>
      <c r="N175" s="47"/>
      <c r="O175" s="47"/>
    </row>
    <row r="176" spans="2:15" ht="11.25">
      <c r="B176" s="47"/>
      <c r="K176" s="35"/>
      <c r="L176" s="47"/>
      <c r="M176" s="47"/>
      <c r="N176" s="47"/>
      <c r="O176" s="47"/>
    </row>
    <row r="177" spans="2:15" ht="11.25">
      <c r="B177" s="47"/>
      <c r="K177" s="35"/>
      <c r="L177" s="47"/>
      <c r="M177" s="47"/>
      <c r="N177" s="47"/>
      <c r="O177" s="47"/>
    </row>
    <row r="178" spans="2:15" ht="11.25">
      <c r="B178" s="47"/>
      <c r="K178" s="35"/>
      <c r="L178" s="47"/>
      <c r="M178" s="47"/>
      <c r="N178" s="47"/>
      <c r="O178" s="47"/>
    </row>
    <row r="179" spans="2:15" ht="11.25">
      <c r="B179" s="47"/>
      <c r="K179" s="35"/>
      <c r="L179" s="47"/>
      <c r="M179" s="47"/>
      <c r="N179" s="47"/>
      <c r="O179" s="47"/>
    </row>
    <row r="180" spans="2:15" ht="11.25">
      <c r="B180" s="47"/>
      <c r="K180" s="35"/>
      <c r="L180" s="47"/>
      <c r="M180" s="47"/>
      <c r="N180" s="47"/>
      <c r="O180" s="47"/>
    </row>
    <row r="181" spans="2:15" ht="11.25">
      <c r="B181" s="47"/>
      <c r="K181" s="35"/>
      <c r="L181" s="47"/>
      <c r="M181" s="47"/>
      <c r="N181" s="47"/>
      <c r="O181" s="47"/>
    </row>
    <row r="182" spans="2:15" ht="11.25">
      <c r="B182" s="47"/>
      <c r="K182" s="35"/>
      <c r="L182" s="47"/>
      <c r="M182" s="47"/>
      <c r="N182" s="47"/>
      <c r="O182" s="47"/>
    </row>
    <row r="183" spans="2:15" ht="11.25">
      <c r="B183" s="47"/>
      <c r="K183" s="35"/>
      <c r="L183" s="47"/>
      <c r="M183" s="47"/>
      <c r="N183" s="47"/>
      <c r="O183" s="47"/>
    </row>
    <row r="184" spans="2:15" ht="11.25">
      <c r="B184" s="47"/>
      <c r="K184" s="35"/>
      <c r="L184" s="47"/>
      <c r="M184" s="47"/>
      <c r="N184" s="47"/>
      <c r="O184" s="47"/>
    </row>
    <row r="185" spans="2:15" ht="11.25">
      <c r="B185" s="47"/>
      <c r="K185" s="35"/>
      <c r="L185" s="47"/>
      <c r="M185" s="47"/>
      <c r="N185" s="47"/>
      <c r="O185" s="47"/>
    </row>
    <row r="186" spans="2:15" ht="11.25">
      <c r="B186" s="47"/>
      <c r="K186" s="35"/>
      <c r="L186" s="47"/>
      <c r="M186" s="47"/>
      <c r="N186" s="47"/>
      <c r="O186" s="47"/>
    </row>
    <row r="187" spans="2:15" ht="11.25">
      <c r="B187" s="47"/>
      <c r="K187" s="35"/>
      <c r="L187" s="47"/>
      <c r="M187" s="47"/>
      <c r="N187" s="47"/>
      <c r="O187" s="47"/>
    </row>
    <row r="188" spans="2:15" ht="11.25">
      <c r="B188" s="47"/>
      <c r="K188" s="35"/>
      <c r="L188" s="47"/>
      <c r="M188" s="47"/>
      <c r="N188" s="47"/>
      <c r="O188" s="47"/>
    </row>
    <row r="189" spans="2:15" ht="11.25">
      <c r="B189" s="47"/>
      <c r="K189" s="35"/>
      <c r="L189" s="47"/>
      <c r="M189" s="47"/>
      <c r="N189" s="47"/>
      <c r="O189" s="47"/>
    </row>
    <row r="190" spans="2:15" ht="11.25">
      <c r="B190" s="47"/>
      <c r="K190" s="35"/>
      <c r="L190" s="47"/>
      <c r="M190" s="47"/>
      <c r="N190" s="47"/>
      <c r="O190" s="47"/>
    </row>
    <row r="191" spans="2:15" ht="11.25">
      <c r="B191" s="47"/>
      <c r="K191" s="35"/>
      <c r="L191" s="47"/>
      <c r="M191" s="47"/>
      <c r="N191" s="47"/>
      <c r="O191" s="47"/>
    </row>
    <row r="192" spans="2:15" ht="11.25">
      <c r="B192" s="47"/>
      <c r="K192" s="35"/>
      <c r="L192" s="47"/>
      <c r="M192" s="47"/>
      <c r="N192" s="47"/>
      <c r="O192" s="47"/>
    </row>
    <row r="193" spans="2:15" ht="11.25">
      <c r="B193" s="47"/>
      <c r="K193" s="35"/>
      <c r="L193" s="47"/>
      <c r="M193" s="47"/>
      <c r="N193" s="47"/>
      <c r="O193" s="47"/>
    </row>
    <row r="194" spans="2:15" ht="11.25">
      <c r="B194" s="47"/>
      <c r="K194" s="35"/>
      <c r="L194" s="47"/>
      <c r="M194" s="47"/>
      <c r="N194" s="47"/>
      <c r="O194" s="47"/>
    </row>
    <row r="195" spans="2:15" ht="11.25">
      <c r="B195" s="47"/>
      <c r="K195" s="35"/>
      <c r="L195" s="47"/>
      <c r="M195" s="47"/>
      <c r="N195" s="47"/>
      <c r="O195" s="47"/>
    </row>
    <row r="196" spans="2:15" ht="11.25">
      <c r="B196" s="47"/>
      <c r="K196" s="35"/>
      <c r="L196" s="47"/>
      <c r="M196" s="47"/>
      <c r="N196" s="47"/>
      <c r="O196" s="47"/>
    </row>
    <row r="197" spans="2:15" ht="11.25">
      <c r="B197" s="47"/>
      <c r="K197" s="35"/>
      <c r="L197" s="47"/>
      <c r="M197" s="47"/>
      <c r="N197" s="47"/>
      <c r="O197" s="47"/>
    </row>
    <row r="198" spans="2:15" ht="11.25">
      <c r="B198" s="47"/>
      <c r="K198" s="35"/>
      <c r="L198" s="47"/>
      <c r="M198" s="47"/>
      <c r="N198" s="47"/>
      <c r="O198" s="47"/>
    </row>
    <row r="199" spans="2:15" ht="11.25">
      <c r="B199" s="47"/>
      <c r="K199" s="35"/>
      <c r="L199" s="47"/>
      <c r="M199" s="47"/>
      <c r="N199" s="47"/>
      <c r="O199" s="47"/>
    </row>
    <row r="200" spans="2:15" ht="11.25">
      <c r="B200" s="47"/>
      <c r="K200" s="35"/>
      <c r="L200" s="47"/>
      <c r="M200" s="47"/>
      <c r="N200" s="47"/>
      <c r="O200" s="47"/>
    </row>
    <row r="201" spans="2:15" ht="11.25">
      <c r="B201" s="47"/>
      <c r="K201" s="35"/>
      <c r="L201" s="47"/>
      <c r="M201" s="47"/>
      <c r="N201" s="47"/>
      <c r="O201" s="47"/>
    </row>
    <row r="202" spans="2:15" ht="11.25">
      <c r="B202" s="47"/>
      <c r="K202" s="35"/>
      <c r="L202" s="47"/>
      <c r="M202" s="47"/>
      <c r="N202" s="47"/>
      <c r="O202" s="47"/>
    </row>
    <row r="203" spans="2:15" ht="11.25">
      <c r="B203" s="47"/>
      <c r="K203" s="35"/>
      <c r="L203" s="47"/>
      <c r="M203" s="47"/>
      <c r="N203" s="47"/>
      <c r="O203" s="47"/>
    </row>
    <row r="204" spans="2:15" ht="11.25">
      <c r="B204" s="47"/>
      <c r="K204" s="35"/>
      <c r="L204" s="47"/>
      <c r="M204" s="47"/>
      <c r="N204" s="47"/>
      <c r="O204" s="47"/>
    </row>
    <row r="205" spans="2:15" ht="11.25">
      <c r="B205" s="47"/>
      <c r="K205" s="35"/>
      <c r="L205" s="47"/>
      <c r="M205" s="47"/>
      <c r="N205" s="47"/>
      <c r="O205" s="47"/>
    </row>
    <row r="206" spans="2:15" ht="11.25">
      <c r="B206" s="47"/>
      <c r="K206" s="35"/>
      <c r="L206" s="47"/>
      <c r="M206" s="47"/>
      <c r="N206" s="47"/>
      <c r="O206" s="47"/>
    </row>
    <row r="207" spans="2:15" ht="11.25">
      <c r="B207" s="47"/>
      <c r="K207" s="35"/>
      <c r="L207" s="47"/>
      <c r="M207" s="47"/>
      <c r="N207" s="47"/>
      <c r="O207" s="47"/>
    </row>
    <row r="208" spans="2:15" ht="11.25">
      <c r="B208" s="47"/>
      <c r="K208" s="35"/>
      <c r="L208" s="47"/>
      <c r="M208" s="47"/>
      <c r="N208" s="47"/>
      <c r="O208" s="47"/>
    </row>
    <row r="209" spans="2:15" ht="11.25">
      <c r="B209" s="47"/>
      <c r="K209" s="35"/>
      <c r="L209" s="47"/>
      <c r="M209" s="47"/>
      <c r="N209" s="47"/>
      <c r="O209" s="47"/>
    </row>
    <row r="210" spans="2:15" ht="11.25">
      <c r="B210" s="47"/>
      <c r="K210" s="35"/>
      <c r="L210" s="47"/>
      <c r="M210" s="47"/>
      <c r="N210" s="47"/>
      <c r="O210" s="47"/>
    </row>
    <row r="211" spans="2:15" ht="11.25">
      <c r="B211" s="47"/>
      <c r="K211" s="35"/>
      <c r="L211" s="47"/>
      <c r="M211" s="47"/>
      <c r="N211" s="47"/>
      <c r="O211" s="47"/>
    </row>
    <row r="212" spans="2:15" ht="11.25">
      <c r="B212" s="47"/>
      <c r="K212" s="35"/>
      <c r="L212" s="47"/>
      <c r="M212" s="47"/>
      <c r="N212" s="47"/>
      <c r="O212" s="47"/>
    </row>
    <row r="213" spans="2:15" ht="11.25">
      <c r="B213" s="47"/>
      <c r="K213" s="35"/>
      <c r="L213" s="47"/>
      <c r="M213" s="47"/>
      <c r="N213" s="47"/>
      <c r="O213" s="47"/>
    </row>
    <row r="214" spans="2:15" ht="11.25">
      <c r="B214" s="47"/>
      <c r="K214" s="35"/>
      <c r="L214" s="47"/>
      <c r="M214" s="47"/>
      <c r="N214" s="47"/>
      <c r="O214" s="47"/>
    </row>
    <row r="215" spans="2:15" ht="11.25">
      <c r="B215" s="47"/>
      <c r="K215" s="35"/>
      <c r="L215" s="47"/>
      <c r="M215" s="47"/>
      <c r="N215" s="47"/>
      <c r="O215" s="47"/>
    </row>
    <row r="216" spans="2:15" ht="11.25">
      <c r="B216" s="47"/>
      <c r="K216" s="35"/>
      <c r="L216" s="47"/>
      <c r="M216" s="47"/>
      <c r="N216" s="47"/>
      <c r="O216" s="47"/>
    </row>
    <row r="217" spans="2:15" ht="11.25">
      <c r="B217" s="47"/>
      <c r="K217" s="35"/>
      <c r="L217" s="47"/>
      <c r="M217" s="47"/>
      <c r="N217" s="47"/>
      <c r="O217" s="47"/>
    </row>
    <row r="218" spans="2:15" ht="11.25">
      <c r="B218" s="47"/>
      <c r="K218" s="35"/>
      <c r="L218" s="47"/>
      <c r="M218" s="47"/>
      <c r="N218" s="47"/>
      <c r="O218" s="47"/>
    </row>
    <row r="219" spans="2:15" ht="11.25">
      <c r="B219" s="47"/>
      <c r="K219" s="35"/>
      <c r="L219" s="47"/>
      <c r="M219" s="47"/>
      <c r="N219" s="47"/>
      <c r="O219" s="47"/>
    </row>
    <row r="220" spans="2:15" ht="11.25">
      <c r="B220" s="47"/>
      <c r="K220" s="35"/>
      <c r="L220" s="47"/>
      <c r="M220" s="47"/>
      <c r="N220" s="47"/>
      <c r="O220" s="47"/>
    </row>
    <row r="221" spans="2:15" ht="11.25">
      <c r="B221" s="47"/>
      <c r="K221" s="35"/>
      <c r="L221" s="47"/>
      <c r="M221" s="47"/>
      <c r="N221" s="47"/>
      <c r="O221" s="47"/>
    </row>
    <row r="222" spans="2:15" ht="11.25">
      <c r="B222" s="47"/>
      <c r="K222" s="35"/>
      <c r="L222" s="47"/>
      <c r="M222" s="47"/>
      <c r="N222" s="47"/>
      <c r="O222" s="47"/>
    </row>
    <row r="223" spans="2:15" ht="11.25">
      <c r="B223" s="47"/>
      <c r="K223" s="35"/>
      <c r="L223" s="47"/>
      <c r="M223" s="47"/>
      <c r="N223" s="47"/>
      <c r="O223" s="47"/>
    </row>
    <row r="224" spans="2:15" ht="11.25">
      <c r="B224" s="47"/>
      <c r="K224" s="35"/>
      <c r="L224" s="47"/>
      <c r="M224" s="47"/>
      <c r="N224" s="47"/>
      <c r="O224" s="47"/>
    </row>
    <row r="225" spans="2:15" ht="11.25">
      <c r="B225" s="47"/>
      <c r="K225" s="35"/>
      <c r="L225" s="47"/>
      <c r="M225" s="47"/>
      <c r="N225" s="47"/>
      <c r="O225" s="47"/>
    </row>
    <row r="226" spans="2:15" ht="11.25">
      <c r="B226" s="47"/>
      <c r="K226" s="35"/>
      <c r="L226" s="47"/>
      <c r="M226" s="47"/>
      <c r="N226" s="47"/>
      <c r="O226" s="47"/>
    </row>
    <row r="227" spans="2:15" ht="11.25">
      <c r="B227" s="47"/>
      <c r="K227" s="35"/>
      <c r="L227" s="47"/>
      <c r="M227" s="47"/>
      <c r="N227" s="47"/>
      <c r="O227" s="47"/>
    </row>
    <row r="228" spans="2:15" ht="11.25">
      <c r="B228" s="47"/>
      <c r="K228" s="35"/>
      <c r="L228" s="47"/>
      <c r="M228" s="47"/>
      <c r="N228" s="47"/>
      <c r="O228" s="47"/>
    </row>
    <row r="229" spans="2:15" ht="11.25">
      <c r="B229" s="47"/>
      <c r="K229" s="35"/>
      <c r="L229" s="47"/>
      <c r="M229" s="47"/>
      <c r="N229" s="47"/>
      <c r="O229" s="47"/>
    </row>
    <row r="230" spans="2:15" ht="11.25">
      <c r="B230" s="47"/>
      <c r="K230" s="35"/>
      <c r="L230" s="47"/>
      <c r="M230" s="47"/>
      <c r="N230" s="47"/>
      <c r="O230" s="47"/>
    </row>
    <row r="231" spans="2:15" ht="11.25">
      <c r="B231" s="47"/>
      <c r="K231" s="35"/>
      <c r="L231" s="47"/>
      <c r="M231" s="47"/>
      <c r="N231" s="47"/>
      <c r="O231" s="47"/>
    </row>
    <row r="232" spans="2:15" ht="11.25">
      <c r="B232" s="47"/>
      <c r="K232" s="35"/>
      <c r="L232" s="47"/>
      <c r="M232" s="47"/>
      <c r="N232" s="47"/>
      <c r="O232" s="47"/>
    </row>
    <row r="233" spans="2:15" ht="11.25">
      <c r="B233" s="47"/>
      <c r="K233" s="35"/>
      <c r="L233" s="47"/>
      <c r="M233" s="47"/>
      <c r="N233" s="47"/>
      <c r="O233" s="47"/>
    </row>
    <row r="234" spans="2:15" ht="11.25">
      <c r="B234" s="47"/>
      <c r="K234" s="35"/>
      <c r="L234" s="47"/>
      <c r="M234" s="47"/>
      <c r="N234" s="47"/>
      <c r="O234" s="47"/>
    </row>
    <row r="235" spans="2:15" ht="11.25">
      <c r="B235" s="47"/>
      <c r="K235" s="35"/>
      <c r="L235" s="47"/>
      <c r="M235" s="47"/>
      <c r="N235" s="47"/>
      <c r="O235" s="47"/>
    </row>
    <row r="236" spans="2:15" ht="11.25">
      <c r="B236" s="47"/>
      <c r="K236" s="35"/>
      <c r="L236" s="47"/>
      <c r="M236" s="47"/>
      <c r="N236" s="47"/>
      <c r="O236" s="47"/>
    </row>
    <row r="237" spans="2:15" ht="11.25">
      <c r="B237" s="47"/>
      <c r="K237" s="35"/>
      <c r="L237" s="47"/>
      <c r="M237" s="47"/>
      <c r="N237" s="47"/>
      <c r="O237" s="47"/>
    </row>
    <row r="238" spans="2:15" ht="11.25">
      <c r="B238" s="47"/>
      <c r="K238" s="35"/>
      <c r="L238" s="47"/>
      <c r="M238" s="47"/>
      <c r="N238" s="47"/>
      <c r="O238" s="47"/>
    </row>
    <row r="239" spans="2:15" ht="11.25">
      <c r="B239" s="47"/>
      <c r="K239" s="35"/>
      <c r="L239" s="47"/>
      <c r="M239" s="47"/>
      <c r="N239" s="47"/>
      <c r="O239" s="47"/>
    </row>
    <row r="240" spans="2:15" ht="11.25">
      <c r="B240" s="47"/>
      <c r="K240" s="35"/>
      <c r="L240" s="47"/>
      <c r="M240" s="47"/>
      <c r="N240" s="47"/>
      <c r="O240" s="47"/>
    </row>
    <row r="241" spans="2:15" ht="11.25">
      <c r="B241" s="47"/>
      <c r="K241" s="35"/>
      <c r="L241" s="47"/>
      <c r="M241" s="47"/>
      <c r="N241" s="47"/>
      <c r="O241" s="47"/>
    </row>
    <row r="242" spans="2:15" ht="11.25">
      <c r="B242" s="47"/>
      <c r="K242" s="35"/>
      <c r="L242" s="47"/>
      <c r="M242" s="47"/>
      <c r="N242" s="47"/>
      <c r="O242" s="47"/>
    </row>
    <row r="243" spans="2:15" ht="11.25">
      <c r="B243" s="47"/>
      <c r="K243" s="35"/>
      <c r="L243" s="47"/>
      <c r="M243" s="47"/>
      <c r="N243" s="47"/>
      <c r="O243" s="47"/>
    </row>
    <row r="244" spans="2:15" ht="11.25">
      <c r="B244" s="47"/>
      <c r="K244" s="35"/>
      <c r="L244" s="47"/>
      <c r="M244" s="47"/>
      <c r="N244" s="47"/>
      <c r="O244" s="47"/>
    </row>
    <row r="245" spans="2:15" ht="11.25">
      <c r="B245" s="47"/>
      <c r="K245" s="35"/>
      <c r="L245" s="47"/>
      <c r="M245" s="47"/>
      <c r="N245" s="47"/>
      <c r="O245" s="47"/>
    </row>
    <row r="246" spans="2:15" ht="11.25">
      <c r="B246" s="47"/>
      <c r="K246" s="35"/>
      <c r="L246" s="47"/>
      <c r="M246" s="47"/>
      <c r="N246" s="47"/>
      <c r="O246" s="47"/>
    </row>
    <row r="247" spans="2:15" ht="11.25">
      <c r="B247" s="47"/>
      <c r="K247" s="35"/>
      <c r="L247" s="47"/>
      <c r="M247" s="47"/>
      <c r="N247" s="47"/>
      <c r="O247" s="47"/>
    </row>
    <row r="248" spans="2:15" ht="11.25">
      <c r="B248" s="47"/>
      <c r="K248" s="35"/>
      <c r="L248" s="47"/>
      <c r="M248" s="47"/>
      <c r="N248" s="47"/>
      <c r="O248" s="47"/>
    </row>
    <row r="249" spans="2:15" ht="11.25">
      <c r="B249" s="47"/>
      <c r="K249" s="35"/>
      <c r="L249" s="47"/>
      <c r="M249" s="47"/>
      <c r="N249" s="47"/>
      <c r="O249" s="47"/>
    </row>
    <row r="250" spans="2:15" ht="11.25">
      <c r="B250" s="47"/>
      <c r="K250" s="35"/>
      <c r="L250" s="47"/>
      <c r="M250" s="47"/>
      <c r="N250" s="47"/>
      <c r="O250" s="47"/>
    </row>
    <row r="251" spans="2:15" ht="11.25">
      <c r="B251" s="47"/>
      <c r="K251" s="35"/>
      <c r="L251" s="47"/>
      <c r="M251" s="47"/>
      <c r="N251" s="47"/>
      <c r="O251" s="47"/>
    </row>
    <row r="252" spans="2:15" ht="11.25">
      <c r="B252" s="47"/>
      <c r="K252" s="35"/>
      <c r="L252" s="47"/>
      <c r="M252" s="47"/>
      <c r="N252" s="47"/>
      <c r="O252" s="47"/>
    </row>
    <row r="253" spans="2:15" ht="11.25">
      <c r="B253" s="47"/>
      <c r="K253" s="35"/>
      <c r="L253" s="47"/>
      <c r="M253" s="47"/>
      <c r="N253" s="47"/>
      <c r="O253" s="47"/>
    </row>
    <row r="254" spans="2:15" ht="11.25">
      <c r="B254" s="47"/>
      <c r="K254" s="35"/>
      <c r="L254" s="47"/>
      <c r="M254" s="47"/>
      <c r="N254" s="47"/>
      <c r="O254" s="47"/>
    </row>
    <row r="255" spans="2:15" ht="11.25">
      <c r="B255" s="47"/>
      <c r="K255" s="35"/>
      <c r="L255" s="47"/>
      <c r="M255" s="47"/>
      <c r="N255" s="47"/>
      <c r="O255" s="47"/>
    </row>
    <row r="256" spans="2:15" ht="11.25">
      <c r="B256" s="47"/>
      <c r="K256" s="35"/>
      <c r="L256" s="47"/>
      <c r="M256" s="47"/>
      <c r="N256" s="47"/>
      <c r="O256" s="47"/>
    </row>
    <row r="257" spans="2:15" ht="11.25">
      <c r="B257" s="47"/>
      <c r="K257" s="35"/>
      <c r="L257" s="47"/>
      <c r="M257" s="47"/>
      <c r="N257" s="47"/>
      <c r="O257" s="47"/>
    </row>
    <row r="258" spans="2:15" ht="11.25">
      <c r="B258" s="47"/>
      <c r="K258" s="35"/>
      <c r="L258" s="47"/>
      <c r="M258" s="47"/>
      <c r="N258" s="47"/>
      <c r="O258" s="47"/>
    </row>
    <row r="259" spans="2:15" ht="11.25">
      <c r="B259" s="47"/>
      <c r="K259" s="35"/>
      <c r="L259" s="47"/>
      <c r="M259" s="47"/>
      <c r="N259" s="47"/>
      <c r="O259" s="47"/>
    </row>
    <row r="260" spans="2:15" ht="11.25">
      <c r="B260" s="47"/>
      <c r="K260" s="35"/>
      <c r="L260" s="47"/>
      <c r="M260" s="47"/>
      <c r="N260" s="47"/>
      <c r="O260" s="47"/>
    </row>
    <row r="261" spans="2:15" ht="11.25">
      <c r="B261" s="47"/>
      <c r="K261" s="35"/>
      <c r="L261" s="47"/>
      <c r="M261" s="47"/>
      <c r="N261" s="47"/>
      <c r="O261" s="47"/>
    </row>
    <row r="262" spans="2:15" ht="11.25">
      <c r="B262" s="47"/>
      <c r="K262" s="35"/>
      <c r="L262" s="47"/>
      <c r="M262" s="47"/>
      <c r="N262" s="47"/>
      <c r="O262" s="47"/>
    </row>
    <row r="263" spans="2:15" ht="11.25">
      <c r="B263" s="47"/>
      <c r="K263" s="35"/>
      <c r="L263" s="47"/>
      <c r="M263" s="47"/>
      <c r="N263" s="47"/>
      <c r="O263" s="47"/>
    </row>
    <row r="264" spans="2:15" ht="11.25">
      <c r="B264" s="47"/>
      <c r="K264" s="35"/>
      <c r="L264" s="47"/>
      <c r="M264" s="47"/>
      <c r="N264" s="47"/>
      <c r="O264" s="47"/>
    </row>
    <row r="265" spans="2:15" ht="11.25">
      <c r="B265" s="47"/>
      <c r="K265" s="35"/>
      <c r="L265" s="47"/>
      <c r="M265" s="47"/>
      <c r="N265" s="47"/>
      <c r="O265" s="47"/>
    </row>
    <row r="266" spans="2:15" ht="11.25">
      <c r="B266" s="47"/>
      <c r="K266" s="35"/>
      <c r="L266" s="47"/>
      <c r="M266" s="47"/>
      <c r="N266" s="47"/>
      <c r="O266" s="47"/>
    </row>
    <row r="267" spans="2:15" ht="11.25">
      <c r="B267" s="47"/>
      <c r="K267" s="35"/>
      <c r="L267" s="47"/>
      <c r="M267" s="47"/>
      <c r="N267" s="47"/>
      <c r="O267" s="47"/>
    </row>
    <row r="268" spans="2:15" ht="11.25">
      <c r="B268" s="47"/>
      <c r="K268" s="35"/>
      <c r="L268" s="47"/>
      <c r="M268" s="47"/>
      <c r="N268" s="47"/>
      <c r="O268" s="47"/>
    </row>
    <row r="269" spans="2:15" ht="11.25">
      <c r="B269" s="47"/>
      <c r="K269" s="35"/>
      <c r="L269" s="47"/>
      <c r="M269" s="47"/>
      <c r="N269" s="47"/>
      <c r="O269" s="47"/>
    </row>
    <row r="270" spans="2:15" ht="11.25">
      <c r="B270" s="47"/>
      <c r="K270" s="35"/>
      <c r="L270" s="47"/>
      <c r="M270" s="47"/>
      <c r="N270" s="47"/>
      <c r="O270" s="47"/>
    </row>
    <row r="271" spans="2:15" ht="11.25">
      <c r="B271" s="47"/>
      <c r="K271" s="35"/>
      <c r="L271" s="47"/>
      <c r="M271" s="47"/>
      <c r="N271" s="47"/>
      <c r="O271" s="47"/>
    </row>
    <row r="272" spans="2:15" ht="11.25">
      <c r="B272" s="47"/>
      <c r="K272" s="35"/>
      <c r="L272" s="47"/>
      <c r="M272" s="47"/>
      <c r="N272" s="47"/>
      <c r="O272" s="47"/>
    </row>
    <row r="273" spans="2:15" ht="11.25">
      <c r="B273" s="47"/>
      <c r="K273" s="35"/>
      <c r="L273" s="47"/>
      <c r="M273" s="47"/>
      <c r="N273" s="47"/>
      <c r="O273" s="47"/>
    </row>
    <row r="274" spans="2:15" ht="11.25">
      <c r="B274" s="47"/>
      <c r="K274" s="35"/>
      <c r="L274" s="47"/>
      <c r="M274" s="47"/>
      <c r="N274" s="47"/>
      <c r="O274" s="47"/>
    </row>
    <row r="275" spans="2:15" ht="11.25">
      <c r="B275" s="47"/>
      <c r="K275" s="35"/>
      <c r="L275" s="47"/>
      <c r="M275" s="47"/>
      <c r="N275" s="47"/>
      <c r="O275" s="47"/>
    </row>
    <row r="276" spans="2:15" ht="11.25">
      <c r="B276" s="47"/>
      <c r="K276" s="35"/>
      <c r="L276" s="47"/>
      <c r="M276" s="47"/>
      <c r="N276" s="47"/>
      <c r="O276" s="47"/>
    </row>
    <row r="277" spans="2:15" ht="11.25">
      <c r="B277" s="47"/>
      <c r="K277" s="35"/>
      <c r="L277" s="47"/>
      <c r="M277" s="47"/>
      <c r="N277" s="47"/>
      <c r="O277" s="47"/>
    </row>
    <row r="278" spans="2:15" ht="11.25">
      <c r="B278" s="47"/>
      <c r="K278" s="35"/>
      <c r="L278" s="47"/>
      <c r="M278" s="47"/>
      <c r="N278" s="47"/>
      <c r="O278" s="47"/>
    </row>
    <row r="279" spans="2:15" ht="11.25">
      <c r="B279" s="47"/>
      <c r="K279" s="35"/>
      <c r="L279" s="47"/>
      <c r="M279" s="47"/>
      <c r="N279" s="47"/>
      <c r="O279" s="47"/>
    </row>
    <row r="280" spans="2:15" ht="11.25">
      <c r="B280" s="47"/>
      <c r="K280" s="35"/>
      <c r="L280" s="47"/>
      <c r="M280" s="47"/>
      <c r="N280" s="47"/>
      <c r="O280" s="47"/>
    </row>
    <row r="281" spans="2:15" ht="11.25">
      <c r="B281" s="47"/>
      <c r="K281" s="35"/>
      <c r="L281" s="47"/>
      <c r="M281" s="47"/>
      <c r="N281" s="47"/>
      <c r="O281" s="47"/>
    </row>
    <row r="282" spans="2:15" ht="11.25">
      <c r="B282" s="47"/>
      <c r="K282" s="35"/>
      <c r="L282" s="47"/>
      <c r="M282" s="47"/>
      <c r="N282" s="47"/>
      <c r="O282" s="47"/>
    </row>
    <row r="283" spans="2:15" ht="11.25">
      <c r="B283" s="47"/>
      <c r="K283" s="35"/>
      <c r="L283" s="47"/>
      <c r="M283" s="47"/>
      <c r="N283" s="47"/>
      <c r="O283" s="47"/>
    </row>
    <row r="284" spans="2:15" ht="11.25">
      <c r="B284" s="47"/>
      <c r="K284" s="35"/>
      <c r="L284" s="47"/>
      <c r="M284" s="47"/>
      <c r="N284" s="47"/>
      <c r="O284" s="47"/>
    </row>
    <row r="285" spans="2:15" ht="11.25">
      <c r="B285" s="47"/>
      <c r="K285" s="35"/>
      <c r="L285" s="47"/>
      <c r="M285" s="47"/>
      <c r="N285" s="47"/>
      <c r="O285" s="47"/>
    </row>
    <row r="286" spans="2:15" ht="11.25">
      <c r="B286" s="47"/>
      <c r="K286" s="35"/>
      <c r="L286" s="47"/>
      <c r="M286" s="47"/>
      <c r="N286" s="47"/>
      <c r="O286" s="47"/>
    </row>
    <row r="287" spans="2:15" ht="11.25">
      <c r="B287" s="47"/>
      <c r="K287" s="35"/>
      <c r="L287" s="47"/>
      <c r="M287" s="47"/>
      <c r="N287" s="47"/>
      <c r="O287" s="47"/>
    </row>
    <row r="288" spans="2:15" ht="11.25">
      <c r="B288" s="47"/>
      <c r="K288" s="35"/>
      <c r="L288" s="47"/>
      <c r="M288" s="47"/>
      <c r="N288" s="47"/>
      <c r="O288" s="47"/>
    </row>
    <row r="289" spans="2:15" ht="11.25">
      <c r="B289" s="47"/>
      <c r="K289" s="35"/>
      <c r="L289" s="47"/>
      <c r="M289" s="47"/>
      <c r="N289" s="47"/>
      <c r="O289" s="47"/>
    </row>
    <row r="290" spans="2:15" ht="11.25">
      <c r="B290" s="47"/>
      <c r="K290" s="35"/>
      <c r="L290" s="47"/>
      <c r="M290" s="47"/>
      <c r="N290" s="47"/>
      <c r="O290" s="47"/>
    </row>
    <row r="291" spans="2:15" ht="11.25">
      <c r="B291" s="47"/>
      <c r="K291" s="35"/>
      <c r="L291" s="47"/>
      <c r="M291" s="47"/>
      <c r="N291" s="47"/>
      <c r="O291" s="47"/>
    </row>
    <row r="292" spans="2:15" ht="11.25">
      <c r="B292" s="47"/>
      <c r="K292" s="35"/>
      <c r="L292" s="47"/>
      <c r="M292" s="47"/>
      <c r="N292" s="47"/>
      <c r="O292" s="47"/>
    </row>
    <row r="293" spans="2:15" ht="11.25">
      <c r="B293" s="47"/>
      <c r="K293" s="35"/>
      <c r="L293" s="47"/>
      <c r="M293" s="47"/>
      <c r="N293" s="47"/>
      <c r="O293" s="47"/>
    </row>
    <row r="294" spans="2:15" ht="11.25">
      <c r="B294" s="47"/>
      <c r="K294" s="35"/>
      <c r="L294" s="47"/>
      <c r="M294" s="47"/>
      <c r="N294" s="47"/>
      <c r="O294" s="47"/>
    </row>
    <row r="295" spans="2:15" ht="11.25">
      <c r="B295" s="47"/>
      <c r="K295" s="35"/>
      <c r="L295" s="47"/>
      <c r="M295" s="47"/>
      <c r="N295" s="47"/>
      <c r="O295" s="47"/>
    </row>
    <row r="296" spans="2:15" ht="11.25">
      <c r="B296" s="47"/>
      <c r="K296" s="35"/>
      <c r="L296" s="47"/>
      <c r="M296" s="47"/>
      <c r="N296" s="47"/>
      <c r="O296" s="47"/>
    </row>
    <row r="297" spans="2:15" ht="11.25">
      <c r="B297" s="47"/>
      <c r="K297" s="35"/>
      <c r="L297" s="47"/>
      <c r="M297" s="47"/>
      <c r="N297" s="47"/>
      <c r="O297" s="47"/>
    </row>
    <row r="298" spans="2:15" ht="11.25">
      <c r="B298" s="47"/>
      <c r="K298" s="35"/>
      <c r="L298" s="47"/>
      <c r="M298" s="47"/>
      <c r="N298" s="47"/>
      <c r="O298" s="47"/>
    </row>
    <row r="299" spans="2:15" ht="11.25">
      <c r="B299" s="47"/>
      <c r="K299" s="35"/>
      <c r="L299" s="47"/>
      <c r="M299" s="47"/>
      <c r="N299" s="47"/>
      <c r="O299" s="47"/>
    </row>
    <row r="300" spans="2:15" ht="11.25">
      <c r="B300" s="47"/>
      <c r="K300" s="35"/>
      <c r="L300" s="47"/>
      <c r="M300" s="47"/>
      <c r="N300" s="47"/>
      <c r="O300" s="47"/>
    </row>
    <row r="301" spans="2:15" ht="11.25">
      <c r="B301" s="47"/>
      <c r="K301" s="35"/>
      <c r="L301" s="47"/>
      <c r="M301" s="47"/>
      <c r="N301" s="47"/>
      <c r="O301" s="47"/>
    </row>
    <row r="302" spans="2:15" ht="11.25">
      <c r="B302" s="47"/>
      <c r="K302" s="35"/>
      <c r="L302" s="47"/>
      <c r="M302" s="47"/>
      <c r="N302" s="47"/>
      <c r="O302" s="47"/>
    </row>
    <row r="303" spans="2:15" ht="11.25">
      <c r="B303" s="47"/>
      <c r="K303" s="35"/>
      <c r="L303" s="47"/>
      <c r="M303" s="47"/>
      <c r="N303" s="47"/>
      <c r="O303" s="47"/>
    </row>
    <row r="304" spans="2:15" ht="11.25">
      <c r="B304" s="47"/>
      <c r="K304" s="35"/>
      <c r="L304" s="47"/>
      <c r="M304" s="47"/>
      <c r="N304" s="47"/>
      <c r="O304" s="47"/>
    </row>
    <row r="305" spans="2:15" ht="11.25">
      <c r="B305" s="47"/>
      <c r="K305" s="35"/>
      <c r="L305" s="47"/>
      <c r="M305" s="47"/>
      <c r="N305" s="47"/>
      <c r="O305" s="47"/>
    </row>
    <row r="306" spans="2:15" ht="11.25">
      <c r="B306" s="47"/>
      <c r="K306" s="35"/>
      <c r="L306" s="47"/>
      <c r="M306" s="47"/>
      <c r="N306" s="47"/>
      <c r="O306" s="47"/>
    </row>
    <row r="307" spans="2:15" ht="11.25">
      <c r="B307" s="47"/>
      <c r="K307" s="35"/>
      <c r="L307" s="47"/>
      <c r="M307" s="47"/>
      <c r="N307" s="47"/>
      <c r="O307" s="47"/>
    </row>
    <row r="308" spans="2:15" ht="11.25">
      <c r="B308" s="47"/>
      <c r="K308" s="35"/>
      <c r="L308" s="47"/>
      <c r="M308" s="47"/>
      <c r="N308" s="47"/>
      <c r="O308" s="47"/>
    </row>
    <row r="309" spans="2:15" ht="11.25">
      <c r="B309" s="47"/>
      <c r="K309" s="35"/>
      <c r="L309" s="47"/>
      <c r="M309" s="47"/>
      <c r="N309" s="47"/>
      <c r="O309" s="47"/>
    </row>
    <row r="310" spans="2:15" ht="11.25">
      <c r="B310" s="47"/>
      <c r="K310" s="35"/>
      <c r="L310" s="47"/>
      <c r="M310" s="47"/>
      <c r="N310" s="47"/>
      <c r="O310" s="47"/>
    </row>
    <row r="311" spans="2:15" ht="11.25">
      <c r="B311" s="47"/>
      <c r="K311" s="35"/>
      <c r="L311" s="47"/>
      <c r="M311" s="47"/>
      <c r="N311" s="47"/>
      <c r="O311" s="47"/>
    </row>
    <row r="312" spans="2:15" ht="11.25">
      <c r="B312" s="47"/>
      <c r="K312" s="35"/>
      <c r="L312" s="47"/>
      <c r="M312" s="47"/>
      <c r="N312" s="47"/>
      <c r="O312" s="47"/>
    </row>
    <row r="313" spans="2:15" ht="11.25">
      <c r="B313" s="47"/>
      <c r="K313" s="35"/>
      <c r="L313" s="47"/>
      <c r="M313" s="47"/>
      <c r="N313" s="47"/>
      <c r="O313" s="47"/>
    </row>
    <row r="314" spans="2:15" ht="11.25">
      <c r="B314" s="47"/>
      <c r="K314" s="35"/>
      <c r="L314" s="47"/>
      <c r="M314" s="47"/>
      <c r="N314" s="47"/>
      <c r="O314" s="47"/>
    </row>
    <row r="315" spans="2:15" ht="11.25">
      <c r="B315" s="47"/>
      <c r="K315" s="35"/>
      <c r="L315" s="47"/>
      <c r="M315" s="47"/>
      <c r="N315" s="47"/>
      <c r="O315" s="47"/>
    </row>
    <row r="316" spans="2:15" ht="11.25">
      <c r="B316" s="47"/>
      <c r="K316" s="35"/>
      <c r="L316" s="47"/>
      <c r="M316" s="47"/>
      <c r="N316" s="47"/>
      <c r="O316" s="47"/>
    </row>
    <row r="317" spans="2:15" ht="11.25">
      <c r="B317" s="47"/>
      <c r="K317" s="35"/>
      <c r="L317" s="47"/>
      <c r="M317" s="47"/>
      <c r="N317" s="47"/>
      <c r="O317" s="47"/>
    </row>
    <row r="318" spans="2:15" ht="11.25">
      <c r="B318" s="47"/>
      <c r="K318" s="35"/>
      <c r="L318" s="47"/>
      <c r="M318" s="47"/>
      <c r="N318" s="47"/>
      <c r="O318" s="47"/>
    </row>
    <row r="319" spans="2:15" ht="11.25">
      <c r="B319" s="47"/>
      <c r="K319" s="35"/>
      <c r="L319" s="47"/>
      <c r="M319" s="47"/>
      <c r="N319" s="47"/>
      <c r="O319" s="47"/>
    </row>
    <row r="320" spans="2:15" ht="11.25">
      <c r="B320" s="47"/>
      <c r="K320" s="35"/>
      <c r="L320" s="47"/>
      <c r="M320" s="47"/>
      <c r="N320" s="47"/>
      <c r="O320" s="47"/>
    </row>
    <row r="321" spans="2:15" ht="11.25">
      <c r="B321" s="47"/>
      <c r="K321" s="35"/>
      <c r="L321" s="47"/>
      <c r="M321" s="47"/>
      <c r="N321" s="47"/>
      <c r="O321" s="47"/>
    </row>
    <row r="322" spans="2:15" ht="11.25">
      <c r="B322" s="47"/>
      <c r="K322" s="35"/>
      <c r="L322" s="47"/>
      <c r="M322" s="47"/>
      <c r="N322" s="47"/>
      <c r="O322" s="47"/>
    </row>
    <row r="323" spans="2:15" ht="11.25">
      <c r="B323" s="47"/>
      <c r="K323" s="35"/>
      <c r="L323" s="47"/>
      <c r="M323" s="47"/>
      <c r="N323" s="47"/>
      <c r="O323" s="47"/>
    </row>
    <row r="324" spans="2:15" ht="11.25">
      <c r="B324" s="47"/>
      <c r="K324" s="35"/>
      <c r="L324" s="47"/>
      <c r="M324" s="47"/>
      <c r="N324" s="47"/>
      <c r="O324" s="47"/>
    </row>
    <row r="325" spans="2:15" ht="11.25">
      <c r="B325" s="47"/>
      <c r="K325" s="35"/>
      <c r="L325" s="47"/>
      <c r="M325" s="47"/>
      <c r="N325" s="47"/>
      <c r="O325" s="47"/>
    </row>
    <row r="326" spans="2:15" ht="11.25">
      <c r="B326" s="47"/>
      <c r="K326" s="35"/>
      <c r="L326" s="47"/>
      <c r="M326" s="47"/>
      <c r="N326" s="47"/>
      <c r="O326" s="47"/>
    </row>
    <row r="327" spans="2:15" ht="11.25">
      <c r="B327" s="47"/>
      <c r="K327" s="35"/>
      <c r="L327" s="47"/>
      <c r="M327" s="47"/>
      <c r="N327" s="47"/>
      <c r="O327" s="47"/>
    </row>
    <row r="328" spans="2:15" ht="11.25">
      <c r="B328" s="47"/>
      <c r="K328" s="35"/>
      <c r="L328" s="47"/>
      <c r="M328" s="47"/>
      <c r="N328" s="47"/>
      <c r="O328" s="47"/>
    </row>
    <row r="329" spans="2:15" ht="11.25">
      <c r="B329" s="47"/>
      <c r="K329" s="35"/>
      <c r="L329" s="47"/>
      <c r="M329" s="47"/>
      <c r="N329" s="47"/>
      <c r="O329" s="47"/>
    </row>
    <row r="330" spans="2:15" ht="11.25">
      <c r="B330" s="47"/>
      <c r="K330" s="35"/>
      <c r="L330" s="47"/>
      <c r="M330" s="47"/>
      <c r="N330" s="47"/>
      <c r="O330" s="47"/>
    </row>
    <row r="331" spans="2:15" ht="11.25">
      <c r="B331" s="47"/>
      <c r="K331" s="35"/>
      <c r="L331" s="47"/>
      <c r="M331" s="47"/>
      <c r="N331" s="47"/>
      <c r="O331" s="47"/>
    </row>
    <row r="332" spans="2:15" ht="11.25">
      <c r="B332" s="47"/>
      <c r="K332" s="35"/>
      <c r="L332" s="47"/>
      <c r="M332" s="47"/>
      <c r="N332" s="47"/>
      <c r="O332" s="47"/>
    </row>
    <row r="333" spans="2:15" ht="11.25">
      <c r="B333" s="47"/>
      <c r="K333" s="35"/>
      <c r="L333" s="47"/>
      <c r="M333" s="47"/>
      <c r="N333" s="47"/>
      <c r="O333" s="47"/>
    </row>
    <row r="334" spans="2:15" ht="11.25">
      <c r="B334" s="47"/>
      <c r="K334" s="35"/>
      <c r="L334" s="47"/>
      <c r="M334" s="47"/>
      <c r="N334" s="47"/>
      <c r="O334" s="47"/>
    </row>
    <row r="335" spans="2:15" ht="11.25">
      <c r="B335" s="47"/>
      <c r="K335" s="35"/>
      <c r="L335" s="47"/>
      <c r="M335" s="47"/>
      <c r="N335" s="47"/>
      <c r="O335" s="47"/>
    </row>
    <row r="336" spans="2:15" ht="11.25">
      <c r="B336" s="47"/>
      <c r="K336" s="35"/>
      <c r="L336" s="47"/>
      <c r="M336" s="47"/>
      <c r="N336" s="47"/>
      <c r="O336" s="47"/>
    </row>
    <row r="337" spans="2:15" ht="11.25">
      <c r="B337" s="47"/>
      <c r="K337" s="35"/>
      <c r="L337" s="47"/>
      <c r="M337" s="47"/>
      <c r="N337" s="47"/>
      <c r="O337" s="47"/>
    </row>
    <row r="338" spans="2:15" ht="11.25">
      <c r="B338" s="47"/>
      <c r="K338" s="35"/>
      <c r="L338" s="47"/>
      <c r="M338" s="47"/>
      <c r="N338" s="47"/>
      <c r="O338" s="47"/>
    </row>
    <row r="339" spans="2:15" ht="11.25">
      <c r="B339" s="47"/>
      <c r="K339" s="35"/>
      <c r="L339" s="47"/>
      <c r="M339" s="47"/>
      <c r="N339" s="47"/>
      <c r="O339" s="47"/>
    </row>
    <row r="340" spans="2:15" ht="11.25">
      <c r="B340" s="47"/>
      <c r="K340" s="35"/>
      <c r="L340" s="47"/>
      <c r="M340" s="47"/>
      <c r="N340" s="47"/>
      <c r="O340" s="47"/>
    </row>
    <row r="341" spans="2:15" ht="11.25">
      <c r="B341" s="47"/>
      <c r="K341" s="35"/>
      <c r="L341" s="47"/>
      <c r="M341" s="47"/>
      <c r="N341" s="47"/>
      <c r="O341" s="47"/>
    </row>
    <row r="342" spans="2:15" ht="11.25">
      <c r="B342" s="47"/>
      <c r="K342" s="35"/>
      <c r="L342" s="47"/>
      <c r="M342" s="47"/>
      <c r="N342" s="47"/>
      <c r="O342" s="47"/>
    </row>
    <row r="343" spans="2:15" ht="11.25">
      <c r="B343" s="47"/>
      <c r="K343" s="35"/>
      <c r="L343" s="47"/>
      <c r="M343" s="47"/>
      <c r="N343" s="47"/>
      <c r="O343" s="47"/>
    </row>
    <row r="344" spans="2:15" ht="11.25">
      <c r="B344" s="47"/>
      <c r="K344" s="35"/>
      <c r="L344" s="47"/>
      <c r="M344" s="47"/>
      <c r="N344" s="47"/>
      <c r="O344" s="47"/>
    </row>
    <row r="345" spans="2:15" ht="11.25">
      <c r="B345" s="47"/>
      <c r="K345" s="35"/>
      <c r="L345" s="47"/>
      <c r="M345" s="47"/>
      <c r="N345" s="47"/>
      <c r="O345" s="47"/>
    </row>
    <row r="346" spans="2:15" ht="11.25">
      <c r="B346" s="47"/>
      <c r="K346" s="35"/>
      <c r="L346" s="47"/>
      <c r="M346" s="47"/>
      <c r="N346" s="47"/>
      <c r="O346" s="47"/>
    </row>
    <row r="347" spans="2:15" ht="11.25">
      <c r="B347" s="47"/>
      <c r="K347" s="35"/>
      <c r="L347" s="47"/>
      <c r="M347" s="47"/>
      <c r="N347" s="47"/>
      <c r="O347" s="47"/>
    </row>
    <row r="348" spans="2:15" ht="11.25">
      <c r="B348" s="47"/>
      <c r="K348" s="35"/>
      <c r="L348" s="47"/>
      <c r="M348" s="47"/>
      <c r="N348" s="47"/>
      <c r="O348" s="47"/>
    </row>
    <row r="349" spans="2:15" ht="11.25">
      <c r="B349" s="47"/>
      <c r="K349" s="35"/>
      <c r="L349" s="47"/>
      <c r="M349" s="47"/>
      <c r="N349" s="47"/>
      <c r="O349" s="47"/>
    </row>
    <row r="350" spans="2:15" ht="11.25">
      <c r="B350" s="47"/>
      <c r="K350" s="35"/>
      <c r="L350" s="47"/>
      <c r="M350" s="47"/>
      <c r="N350" s="47"/>
      <c r="O350" s="47"/>
    </row>
    <row r="351" spans="2:15" ht="11.25">
      <c r="B351" s="47"/>
      <c r="K351" s="35"/>
      <c r="L351" s="47"/>
      <c r="M351" s="47"/>
      <c r="N351" s="47"/>
      <c r="O351" s="47"/>
    </row>
    <row r="352" spans="2:15" ht="11.25">
      <c r="B352" s="47"/>
      <c r="K352" s="35"/>
      <c r="L352" s="47"/>
      <c r="M352" s="47"/>
      <c r="N352" s="47"/>
      <c r="O352" s="47"/>
    </row>
    <row r="353" spans="2:15" ht="11.25">
      <c r="B353" s="47"/>
      <c r="K353" s="35"/>
      <c r="L353" s="47"/>
      <c r="M353" s="47"/>
      <c r="N353" s="47"/>
      <c r="O353" s="47"/>
    </row>
    <row r="354" spans="2:15" ht="11.25">
      <c r="B354" s="47"/>
      <c r="K354" s="35"/>
      <c r="L354" s="47"/>
      <c r="M354" s="47"/>
      <c r="N354" s="47"/>
      <c r="O354" s="47"/>
    </row>
    <row r="355" spans="2:15" ht="11.25">
      <c r="B355" s="47"/>
      <c r="K355" s="35"/>
      <c r="L355" s="47"/>
      <c r="M355" s="47"/>
      <c r="N355" s="47"/>
      <c r="O355" s="47"/>
    </row>
    <row r="356" spans="2:15" ht="11.25">
      <c r="B356" s="47"/>
      <c r="K356" s="35"/>
      <c r="L356" s="47"/>
      <c r="M356" s="47"/>
      <c r="N356" s="47"/>
      <c r="O356" s="47"/>
    </row>
    <row r="357" spans="2:15" ht="11.25">
      <c r="B357" s="47"/>
      <c r="K357" s="35"/>
      <c r="L357" s="47"/>
      <c r="M357" s="47"/>
      <c r="N357" s="47"/>
      <c r="O357" s="47"/>
    </row>
    <row r="358" spans="2:15" ht="11.25">
      <c r="B358" s="47"/>
      <c r="K358" s="35"/>
      <c r="L358" s="47"/>
      <c r="M358" s="47"/>
      <c r="N358" s="47"/>
      <c r="O358" s="47"/>
    </row>
    <row r="359" spans="2:15" ht="11.25">
      <c r="B359" s="47"/>
      <c r="K359" s="35"/>
      <c r="L359" s="47"/>
      <c r="M359" s="47"/>
      <c r="N359" s="47"/>
      <c r="O359" s="47"/>
    </row>
    <row r="360" spans="2:15" ht="11.25">
      <c r="B360" s="47"/>
      <c r="K360" s="35"/>
      <c r="L360" s="47"/>
      <c r="M360" s="47"/>
      <c r="N360" s="47"/>
      <c r="O360" s="47"/>
    </row>
    <row r="361" spans="2:15" ht="11.25">
      <c r="B361" s="47"/>
      <c r="K361" s="35"/>
      <c r="L361" s="47"/>
      <c r="M361" s="47"/>
      <c r="N361" s="47"/>
      <c r="O361" s="47"/>
    </row>
    <row r="362" spans="2:15" ht="11.25">
      <c r="B362" s="47"/>
      <c r="K362" s="35"/>
      <c r="L362" s="47"/>
      <c r="M362" s="47"/>
      <c r="N362" s="47"/>
      <c r="O362" s="47"/>
    </row>
    <row r="363" spans="2:15" ht="11.25">
      <c r="B363" s="47"/>
      <c r="K363" s="35"/>
      <c r="L363" s="47"/>
      <c r="M363" s="47"/>
      <c r="N363" s="47"/>
      <c r="O363" s="47"/>
    </row>
    <row r="364" spans="2:15" ht="11.25">
      <c r="B364" s="47"/>
      <c r="K364" s="35"/>
      <c r="L364" s="47"/>
      <c r="M364" s="47"/>
      <c r="N364" s="47"/>
      <c r="O364" s="47"/>
    </row>
    <row r="365" spans="2:15" ht="11.25">
      <c r="B365" s="47"/>
      <c r="K365" s="35"/>
      <c r="L365" s="47"/>
      <c r="M365" s="47"/>
      <c r="N365" s="47"/>
      <c r="O365" s="47"/>
    </row>
    <row r="366" spans="2:15" ht="11.25">
      <c r="B366" s="47"/>
      <c r="K366" s="35"/>
      <c r="L366" s="47"/>
      <c r="M366" s="47"/>
      <c r="N366" s="47"/>
      <c r="O366" s="47"/>
    </row>
    <row r="367" spans="2:15" ht="11.25">
      <c r="B367" s="47"/>
      <c r="K367" s="35"/>
      <c r="L367" s="47"/>
      <c r="M367" s="47"/>
      <c r="N367" s="47"/>
      <c r="O367" s="47"/>
    </row>
    <row r="368" spans="2:15" ht="11.25">
      <c r="B368" s="47"/>
      <c r="K368" s="35"/>
      <c r="L368" s="47"/>
      <c r="M368" s="47"/>
      <c r="N368" s="47"/>
      <c r="O368" s="47"/>
    </row>
    <row r="369" spans="2:15" ht="11.25">
      <c r="B369" s="47"/>
      <c r="K369" s="35"/>
      <c r="L369" s="47"/>
      <c r="M369" s="47"/>
      <c r="N369" s="47"/>
      <c r="O369" s="47"/>
    </row>
    <row r="370" spans="2:15" ht="11.25">
      <c r="B370" s="47"/>
      <c r="K370" s="35"/>
      <c r="L370" s="47"/>
      <c r="M370" s="47"/>
      <c r="N370" s="47"/>
      <c r="O370" s="47"/>
    </row>
    <row r="371" spans="2:15" ht="11.25">
      <c r="B371" s="47"/>
      <c r="K371" s="35"/>
      <c r="L371" s="47"/>
      <c r="M371" s="47"/>
      <c r="N371" s="47"/>
      <c r="O371" s="47"/>
    </row>
    <row r="372" spans="2:15" ht="11.25">
      <c r="B372" s="47"/>
      <c r="K372" s="35"/>
      <c r="L372" s="47"/>
      <c r="M372" s="47"/>
      <c r="N372" s="47"/>
      <c r="O372" s="47"/>
    </row>
    <row r="373" spans="2:15" ht="11.25">
      <c r="B373" s="47"/>
      <c r="K373" s="35"/>
      <c r="L373" s="47"/>
      <c r="M373" s="47"/>
      <c r="N373" s="47"/>
      <c r="O373" s="47"/>
    </row>
    <row r="374" spans="2:15" ht="11.25">
      <c r="B374" s="47"/>
      <c r="K374" s="35"/>
      <c r="L374" s="47"/>
      <c r="M374" s="47"/>
      <c r="N374" s="47"/>
      <c r="O374" s="47"/>
    </row>
    <row r="375" spans="2:15" ht="11.25">
      <c r="B375" s="47"/>
      <c r="K375" s="35"/>
      <c r="L375" s="47"/>
      <c r="M375" s="47"/>
      <c r="N375" s="47"/>
      <c r="O375" s="47"/>
    </row>
    <row r="376" spans="2:15" ht="11.25">
      <c r="B376" s="47"/>
      <c r="K376" s="35"/>
      <c r="L376" s="47"/>
      <c r="M376" s="47"/>
      <c r="N376" s="47"/>
      <c r="O376" s="47"/>
    </row>
    <row r="377" spans="2:15" ht="11.25">
      <c r="B377" s="47"/>
      <c r="K377" s="35"/>
      <c r="L377" s="47"/>
      <c r="M377" s="47"/>
      <c r="N377" s="47"/>
      <c r="O377" s="47"/>
    </row>
    <row r="378" spans="2:15" ht="11.25">
      <c r="B378" s="47"/>
      <c r="K378" s="35"/>
      <c r="L378" s="47"/>
      <c r="M378" s="47"/>
      <c r="N378" s="47"/>
      <c r="O378" s="47"/>
    </row>
    <row r="379" spans="2:15" ht="11.25">
      <c r="B379" s="47"/>
      <c r="K379" s="35"/>
      <c r="L379" s="47"/>
      <c r="M379" s="47"/>
      <c r="N379" s="47"/>
      <c r="O379" s="47"/>
    </row>
    <row r="380" spans="2:15" ht="11.25">
      <c r="B380" s="47"/>
      <c r="K380" s="35"/>
      <c r="L380" s="47"/>
      <c r="M380" s="47"/>
      <c r="N380" s="47"/>
      <c r="O380" s="47"/>
    </row>
    <row r="381" spans="2:15" ht="11.25">
      <c r="B381" s="47"/>
      <c r="K381" s="35"/>
      <c r="L381" s="47"/>
      <c r="M381" s="47"/>
      <c r="N381" s="47"/>
      <c r="O381" s="47"/>
    </row>
    <row r="382" spans="2:15" ht="11.25">
      <c r="B382" s="47"/>
      <c r="K382" s="35"/>
      <c r="L382" s="47"/>
      <c r="M382" s="47"/>
      <c r="N382" s="47"/>
      <c r="O382" s="47"/>
    </row>
    <row r="383" spans="2:15" ht="11.25">
      <c r="B383" s="47"/>
      <c r="K383" s="35"/>
      <c r="L383" s="47"/>
      <c r="M383" s="47"/>
      <c r="N383" s="47"/>
      <c r="O383" s="47"/>
    </row>
    <row r="384" spans="2:15" ht="11.25">
      <c r="B384" s="47"/>
      <c r="K384" s="35"/>
      <c r="L384" s="47"/>
      <c r="M384" s="47"/>
      <c r="N384" s="47"/>
      <c r="O384" s="47"/>
    </row>
    <row r="385" spans="2:15" ht="11.25">
      <c r="B385" s="47"/>
      <c r="K385" s="35"/>
      <c r="L385" s="47"/>
      <c r="M385" s="47"/>
      <c r="N385" s="47"/>
      <c r="O385" s="47"/>
    </row>
    <row r="386" spans="2:15" ht="11.25">
      <c r="B386" s="47"/>
      <c r="K386" s="35"/>
      <c r="L386" s="47"/>
      <c r="M386" s="47"/>
      <c r="N386" s="47"/>
      <c r="O386" s="47"/>
    </row>
    <row r="387" spans="2:15" ht="11.25">
      <c r="B387" s="47"/>
      <c r="K387" s="35"/>
      <c r="L387" s="47"/>
      <c r="M387" s="47"/>
      <c r="N387" s="47"/>
      <c r="O387" s="47"/>
    </row>
    <row r="388" spans="2:15" ht="11.25">
      <c r="B388" s="47"/>
      <c r="K388" s="35"/>
      <c r="L388" s="47"/>
      <c r="M388" s="47"/>
      <c r="N388" s="47"/>
      <c r="O388" s="47"/>
    </row>
    <row r="389" spans="2:15" ht="11.25">
      <c r="B389" s="47"/>
      <c r="K389" s="35"/>
      <c r="L389" s="47"/>
      <c r="M389" s="47"/>
      <c r="N389" s="47"/>
      <c r="O389" s="47"/>
    </row>
    <row r="390" spans="2:15" ht="11.25">
      <c r="B390" s="47"/>
      <c r="K390" s="35"/>
      <c r="L390" s="47"/>
      <c r="M390" s="47"/>
      <c r="N390" s="47"/>
      <c r="O390" s="47"/>
    </row>
    <row r="391" spans="2:15" ht="11.25">
      <c r="B391" s="47"/>
      <c r="K391" s="35"/>
      <c r="L391" s="47"/>
      <c r="M391" s="47"/>
      <c r="N391" s="47"/>
      <c r="O391" s="47"/>
    </row>
    <row r="392" spans="2:15" ht="11.25">
      <c r="B392" s="47"/>
      <c r="K392" s="35"/>
      <c r="L392" s="47"/>
      <c r="M392" s="47"/>
      <c r="N392" s="47"/>
      <c r="O392" s="47"/>
    </row>
    <row r="393" spans="2:15" ht="11.25">
      <c r="B393" s="47"/>
      <c r="K393" s="35"/>
      <c r="L393" s="47"/>
      <c r="M393" s="47"/>
      <c r="N393" s="47"/>
      <c r="O393" s="47"/>
    </row>
    <row r="394" spans="2:15" ht="11.25">
      <c r="B394" s="47"/>
      <c r="K394" s="35"/>
      <c r="L394" s="47"/>
      <c r="M394" s="47"/>
      <c r="N394" s="47"/>
      <c r="O394" s="47"/>
    </row>
    <row r="395" spans="2:15" ht="11.25">
      <c r="B395" s="47"/>
      <c r="K395" s="35"/>
      <c r="L395" s="47"/>
      <c r="M395" s="47"/>
      <c r="N395" s="47"/>
      <c r="O395" s="47"/>
    </row>
    <row r="396" spans="2:15" ht="11.25">
      <c r="B396" s="47"/>
      <c r="K396" s="35"/>
      <c r="L396" s="47"/>
      <c r="M396" s="47"/>
      <c r="N396" s="47"/>
      <c r="O396" s="47"/>
    </row>
    <row r="397" spans="2:15" ht="11.25">
      <c r="B397" s="47"/>
      <c r="K397" s="35"/>
      <c r="L397" s="47"/>
      <c r="M397" s="47"/>
      <c r="N397" s="47"/>
      <c r="O397" s="47"/>
    </row>
    <row r="398" spans="2:15" ht="11.25">
      <c r="B398" s="47"/>
      <c r="K398" s="35"/>
      <c r="L398" s="47"/>
      <c r="M398" s="47"/>
      <c r="N398" s="47"/>
      <c r="O398" s="47"/>
    </row>
    <row r="399" spans="2:15" ht="11.25">
      <c r="B399" s="47"/>
      <c r="K399" s="35"/>
      <c r="L399" s="47"/>
      <c r="M399" s="47"/>
      <c r="N399" s="47"/>
      <c r="O399" s="47"/>
    </row>
    <row r="400" spans="2:15" ht="11.25">
      <c r="B400" s="47"/>
      <c r="K400" s="35"/>
      <c r="L400" s="47"/>
      <c r="M400" s="47"/>
      <c r="N400" s="47"/>
      <c r="O400" s="47"/>
    </row>
    <row r="401" spans="2:15" ht="11.25">
      <c r="B401" s="47"/>
      <c r="K401" s="35"/>
      <c r="L401" s="47"/>
      <c r="M401" s="47"/>
      <c r="N401" s="47"/>
      <c r="O401" s="47"/>
    </row>
    <row r="402" spans="2:15" ht="11.25">
      <c r="B402" s="47"/>
      <c r="K402" s="35"/>
      <c r="L402" s="47"/>
      <c r="M402" s="47"/>
      <c r="N402" s="47"/>
      <c r="O402" s="47"/>
    </row>
    <row r="403" spans="2:15" ht="11.25">
      <c r="B403" s="47"/>
      <c r="K403" s="35"/>
      <c r="L403" s="47"/>
      <c r="M403" s="47"/>
      <c r="N403" s="47"/>
      <c r="O403" s="47"/>
    </row>
    <row r="404" spans="2:15" ht="11.25">
      <c r="B404" s="47"/>
      <c r="K404" s="35"/>
      <c r="L404" s="47"/>
      <c r="M404" s="47"/>
      <c r="N404" s="47"/>
      <c r="O404" s="47"/>
    </row>
    <row r="405" spans="2:15" ht="11.25">
      <c r="B405" s="47"/>
      <c r="K405" s="35"/>
      <c r="L405" s="47"/>
      <c r="M405" s="47"/>
      <c r="N405" s="47"/>
      <c r="O405" s="47"/>
    </row>
    <row r="406" spans="2:15" ht="11.25">
      <c r="B406" s="47"/>
      <c r="K406" s="35"/>
      <c r="L406" s="47"/>
      <c r="M406" s="47"/>
      <c r="N406" s="47"/>
      <c r="O406" s="47"/>
    </row>
    <row r="407" spans="2:15" ht="11.25">
      <c r="B407" s="47"/>
      <c r="K407" s="35"/>
      <c r="L407" s="47"/>
      <c r="M407" s="47"/>
      <c r="N407" s="47"/>
      <c r="O407" s="47"/>
    </row>
    <row r="408" spans="2:15" ht="11.25">
      <c r="B408" s="47"/>
      <c r="K408" s="35"/>
      <c r="L408" s="47"/>
      <c r="M408" s="47"/>
      <c r="N408" s="47"/>
      <c r="O408" s="47"/>
    </row>
    <row r="409" spans="2:15" ht="11.25">
      <c r="B409" s="47"/>
      <c r="K409" s="35"/>
      <c r="L409" s="47"/>
      <c r="M409" s="47"/>
      <c r="N409" s="47"/>
      <c r="O409" s="47"/>
    </row>
    <row r="410" spans="2:15" ht="11.25">
      <c r="B410" s="47"/>
      <c r="K410" s="35"/>
      <c r="L410" s="47"/>
      <c r="M410" s="47"/>
      <c r="N410" s="47"/>
      <c r="O410" s="47"/>
    </row>
    <row r="411" spans="2:15" ht="11.25">
      <c r="B411" s="47"/>
      <c r="K411" s="35"/>
      <c r="L411" s="47"/>
      <c r="M411" s="47"/>
      <c r="N411" s="47"/>
      <c r="O411" s="47"/>
    </row>
    <row r="412" spans="2:15" ht="11.25">
      <c r="B412" s="47"/>
      <c r="K412" s="35"/>
      <c r="L412" s="47"/>
      <c r="M412" s="47"/>
      <c r="N412" s="47"/>
      <c r="O412" s="47"/>
    </row>
    <row r="413" spans="2:15" ht="11.25">
      <c r="B413" s="47"/>
      <c r="K413" s="35"/>
      <c r="L413" s="47"/>
      <c r="M413" s="47"/>
      <c r="N413" s="47"/>
      <c r="O413" s="47"/>
    </row>
    <row r="414" spans="2:15" ht="11.25">
      <c r="B414" s="47"/>
      <c r="K414" s="35"/>
      <c r="L414" s="47"/>
      <c r="M414" s="47"/>
      <c r="N414" s="47"/>
      <c r="O414" s="47"/>
    </row>
    <row r="415" spans="2:15" ht="11.25">
      <c r="B415" s="47"/>
      <c r="K415" s="35"/>
      <c r="L415" s="47"/>
      <c r="M415" s="47"/>
      <c r="N415" s="47"/>
      <c r="O415" s="47"/>
    </row>
    <row r="416" spans="2:15" ht="11.25">
      <c r="B416" s="47"/>
      <c r="K416" s="35"/>
      <c r="L416" s="47"/>
      <c r="M416" s="47"/>
      <c r="N416" s="47"/>
      <c r="O416" s="47"/>
    </row>
    <row r="417" spans="2:15" ht="11.25">
      <c r="B417" s="47"/>
      <c r="K417" s="35"/>
      <c r="L417" s="47"/>
      <c r="M417" s="47"/>
      <c r="N417" s="47"/>
      <c r="O417" s="47"/>
    </row>
    <row r="418" spans="2:15" ht="11.25">
      <c r="B418" s="47"/>
      <c r="K418" s="35"/>
      <c r="L418" s="47"/>
      <c r="M418" s="47"/>
      <c r="N418" s="47"/>
      <c r="O418" s="47"/>
    </row>
    <row r="419" spans="2:15" ht="11.25">
      <c r="B419" s="47"/>
      <c r="K419" s="35"/>
      <c r="L419" s="47"/>
      <c r="M419" s="47"/>
      <c r="N419" s="47"/>
      <c r="O419" s="47"/>
    </row>
    <row r="420" spans="2:15" ht="11.25">
      <c r="B420" s="47"/>
      <c r="K420" s="35"/>
      <c r="L420" s="47"/>
      <c r="M420" s="47"/>
      <c r="N420" s="47"/>
      <c r="O420" s="47"/>
    </row>
    <row r="421" spans="2:15" ht="11.25">
      <c r="B421" s="47"/>
      <c r="K421" s="35"/>
      <c r="L421" s="47"/>
      <c r="M421" s="47"/>
      <c r="N421" s="47"/>
      <c r="O421" s="47"/>
    </row>
    <row r="422" spans="2:15" ht="11.25">
      <c r="B422" s="47"/>
      <c r="K422" s="35"/>
      <c r="L422" s="47"/>
      <c r="M422" s="47"/>
      <c r="N422" s="47"/>
      <c r="O422" s="47"/>
    </row>
    <row r="423" spans="2:15" ht="11.25">
      <c r="B423" s="47"/>
      <c r="K423" s="35"/>
      <c r="L423" s="47"/>
      <c r="M423" s="47"/>
      <c r="N423" s="47"/>
      <c r="O423" s="47"/>
    </row>
    <row r="424" spans="2:15" ht="11.25">
      <c r="B424" s="47"/>
      <c r="K424" s="35"/>
      <c r="L424" s="47"/>
      <c r="M424" s="47"/>
      <c r="N424" s="47"/>
      <c r="O424" s="47"/>
    </row>
    <row r="425" spans="2:15" ht="11.25">
      <c r="B425" s="47"/>
      <c r="K425" s="35"/>
      <c r="L425" s="47"/>
      <c r="M425" s="47"/>
      <c r="N425" s="47"/>
      <c r="O425" s="47"/>
    </row>
    <row r="426" spans="2:15" ht="11.25">
      <c r="B426" s="47"/>
      <c r="K426" s="35"/>
      <c r="L426" s="47"/>
      <c r="M426" s="47"/>
      <c r="N426" s="47"/>
      <c r="O426" s="47"/>
    </row>
    <row r="427" spans="2:15" ht="11.25">
      <c r="B427" s="47"/>
      <c r="K427" s="35"/>
      <c r="L427" s="47"/>
      <c r="M427" s="47"/>
      <c r="N427" s="47"/>
      <c r="O427" s="47"/>
    </row>
    <row r="428" spans="2:15" ht="11.25">
      <c r="B428" s="47"/>
      <c r="K428" s="35"/>
      <c r="L428" s="47"/>
      <c r="M428" s="47"/>
      <c r="N428" s="47"/>
      <c r="O428" s="47"/>
    </row>
    <row r="429" spans="2:15" ht="11.25">
      <c r="B429" s="47"/>
      <c r="K429" s="35"/>
      <c r="L429" s="47"/>
      <c r="M429" s="47"/>
      <c r="N429" s="47"/>
      <c r="O429" s="47"/>
    </row>
    <row r="430" spans="2:15" ht="11.25">
      <c r="B430" s="47"/>
      <c r="K430" s="35"/>
      <c r="L430" s="47"/>
      <c r="M430" s="47"/>
      <c r="N430" s="47"/>
      <c r="O430" s="47"/>
    </row>
    <row r="431" spans="2:15" ht="11.25">
      <c r="B431" s="47"/>
      <c r="K431" s="35"/>
      <c r="L431" s="47"/>
      <c r="M431" s="47"/>
      <c r="N431" s="47"/>
      <c r="O431" s="47"/>
    </row>
    <row r="432" spans="2:15" ht="11.25">
      <c r="B432" s="47"/>
      <c r="K432" s="35"/>
      <c r="L432" s="47"/>
      <c r="M432" s="47"/>
      <c r="N432" s="47"/>
      <c r="O432" s="47"/>
    </row>
    <row r="433" spans="2:15" ht="11.25">
      <c r="B433" s="47"/>
      <c r="K433" s="35"/>
      <c r="L433" s="47"/>
      <c r="M433" s="47"/>
      <c r="N433" s="47"/>
      <c r="O433" s="47"/>
    </row>
    <row r="434" spans="2:15" ht="11.25">
      <c r="B434" s="47"/>
      <c r="K434" s="35"/>
      <c r="L434" s="47"/>
      <c r="M434" s="47"/>
      <c r="N434" s="47"/>
      <c r="O434" s="47"/>
    </row>
    <row r="435" spans="2:15" ht="11.25">
      <c r="B435" s="47"/>
      <c r="K435" s="35"/>
      <c r="L435" s="47"/>
      <c r="M435" s="47"/>
      <c r="N435" s="47"/>
      <c r="O435" s="47"/>
    </row>
    <row r="436" spans="2:15" ht="11.25">
      <c r="B436" s="47"/>
      <c r="K436" s="35"/>
      <c r="L436" s="47"/>
      <c r="M436" s="47"/>
      <c r="N436" s="47"/>
      <c r="O436" s="47"/>
    </row>
    <row r="437" spans="2:15" ht="11.25">
      <c r="B437" s="47"/>
      <c r="K437" s="35"/>
      <c r="L437" s="47"/>
      <c r="M437" s="47"/>
      <c r="N437" s="47"/>
      <c r="O437" s="47"/>
    </row>
    <row r="438" spans="2:15" ht="11.25">
      <c r="B438" s="47"/>
      <c r="K438" s="35"/>
      <c r="L438" s="47"/>
      <c r="M438" s="47"/>
      <c r="N438" s="47"/>
      <c r="O438" s="47"/>
    </row>
    <row r="439" spans="2:15" ht="11.25">
      <c r="B439" s="47"/>
      <c r="K439" s="35"/>
      <c r="L439" s="47"/>
      <c r="M439" s="47"/>
      <c r="N439" s="47"/>
      <c r="O439" s="47"/>
    </row>
    <row r="440" spans="2:15" ht="11.25">
      <c r="B440" s="47"/>
      <c r="K440" s="35"/>
      <c r="L440" s="47"/>
      <c r="M440" s="47"/>
      <c r="N440" s="47"/>
      <c r="O440" s="47"/>
    </row>
    <row r="441" spans="2:15" ht="11.25">
      <c r="B441" s="47"/>
      <c r="K441" s="35"/>
      <c r="L441" s="47"/>
      <c r="M441" s="47"/>
      <c r="N441" s="47"/>
      <c r="O441" s="47"/>
    </row>
    <row r="442" spans="2:15" ht="11.25">
      <c r="B442" s="47"/>
      <c r="K442" s="35"/>
      <c r="L442" s="47"/>
      <c r="M442" s="47"/>
      <c r="N442" s="47"/>
      <c r="O442" s="47"/>
    </row>
    <row r="443" spans="2:15" ht="11.25">
      <c r="B443" s="47"/>
      <c r="K443" s="35"/>
      <c r="L443" s="47"/>
      <c r="M443" s="47"/>
      <c r="N443" s="47"/>
      <c r="O443" s="47"/>
    </row>
    <row r="444" spans="2:15" ht="11.25">
      <c r="B444" s="47"/>
      <c r="K444" s="35"/>
      <c r="L444" s="47"/>
      <c r="M444" s="47"/>
      <c r="N444" s="47"/>
      <c r="O444" s="47"/>
    </row>
    <row r="445" spans="2:15" ht="11.25">
      <c r="B445" s="47"/>
      <c r="K445" s="35"/>
      <c r="L445" s="47"/>
      <c r="M445" s="47"/>
      <c r="N445" s="47"/>
      <c r="O445" s="47"/>
    </row>
    <row r="446" spans="2:15" ht="11.25">
      <c r="B446" s="47"/>
      <c r="K446" s="35"/>
      <c r="L446" s="47"/>
      <c r="M446" s="47"/>
      <c r="N446" s="47"/>
      <c r="O446" s="47"/>
    </row>
    <row r="447" spans="2:15" ht="11.25">
      <c r="B447" s="47"/>
      <c r="K447" s="35"/>
      <c r="L447" s="47"/>
      <c r="M447" s="47"/>
      <c r="N447" s="47"/>
      <c r="O447" s="47"/>
    </row>
    <row r="448" spans="2:15" ht="11.25">
      <c r="B448" s="47"/>
      <c r="K448" s="35"/>
      <c r="L448" s="47"/>
      <c r="M448" s="47"/>
      <c r="N448" s="47"/>
      <c r="O448" s="47"/>
    </row>
    <row r="449" spans="2:15" ht="11.25">
      <c r="B449" s="47"/>
      <c r="K449" s="35"/>
      <c r="L449" s="47"/>
      <c r="M449" s="47"/>
      <c r="N449" s="47"/>
      <c r="O449" s="47"/>
    </row>
    <row r="450" spans="2:15" ht="11.25">
      <c r="B450" s="47"/>
      <c r="K450" s="35"/>
      <c r="L450" s="47"/>
      <c r="M450" s="47"/>
      <c r="N450" s="47"/>
      <c r="O450" s="47"/>
    </row>
    <row r="451" spans="2:15" ht="11.25">
      <c r="B451" s="47"/>
      <c r="K451" s="35"/>
      <c r="L451" s="47"/>
      <c r="M451" s="47"/>
      <c r="N451" s="47"/>
      <c r="O451" s="47"/>
    </row>
    <row r="452" spans="2:15" ht="11.25">
      <c r="B452" s="47"/>
      <c r="K452" s="35"/>
      <c r="L452" s="47"/>
      <c r="M452" s="47"/>
      <c r="N452" s="47"/>
      <c r="O452" s="47"/>
    </row>
    <row r="453" spans="2:15" ht="11.25">
      <c r="B453" s="47"/>
      <c r="K453" s="35"/>
      <c r="L453" s="47"/>
      <c r="M453" s="47"/>
      <c r="N453" s="47"/>
      <c r="O453" s="47"/>
    </row>
    <row r="454" spans="2:15" ht="11.25">
      <c r="B454" s="47"/>
      <c r="K454" s="35"/>
      <c r="L454" s="47"/>
      <c r="M454" s="47"/>
      <c r="N454" s="47"/>
      <c r="O454" s="47"/>
    </row>
    <row r="455" spans="2:15" ht="11.25">
      <c r="B455" s="47"/>
      <c r="K455" s="35"/>
      <c r="L455" s="47"/>
      <c r="M455" s="47"/>
      <c r="N455" s="47"/>
      <c r="O455" s="47"/>
    </row>
    <row r="456" spans="2:15" ht="11.25">
      <c r="B456" s="47"/>
      <c r="K456" s="35"/>
      <c r="L456" s="47"/>
      <c r="M456" s="47"/>
      <c r="N456" s="47"/>
      <c r="O456" s="47"/>
    </row>
    <row r="457" spans="2:15" ht="11.25">
      <c r="B457" s="47"/>
      <c r="K457" s="35"/>
      <c r="L457" s="47"/>
      <c r="M457" s="47"/>
      <c r="N457" s="47"/>
      <c r="O457" s="47"/>
    </row>
    <row r="458" spans="2:15" ht="11.25">
      <c r="B458" s="47"/>
      <c r="K458" s="35"/>
      <c r="L458" s="47"/>
      <c r="M458" s="47"/>
      <c r="N458" s="47"/>
      <c r="O458" s="47"/>
    </row>
    <row r="459" spans="2:15" ht="11.25">
      <c r="B459" s="47"/>
      <c r="K459" s="35"/>
      <c r="L459" s="47"/>
      <c r="M459" s="47"/>
      <c r="N459" s="47"/>
      <c r="O459" s="47"/>
    </row>
    <row r="460" spans="2:15" ht="11.25">
      <c r="B460" s="47"/>
      <c r="K460" s="35"/>
      <c r="L460" s="47"/>
      <c r="M460" s="47"/>
      <c r="N460" s="47"/>
      <c r="O460" s="47"/>
    </row>
    <row r="461" spans="2:15" ht="11.25">
      <c r="B461" s="47"/>
      <c r="K461" s="35"/>
      <c r="L461" s="47"/>
      <c r="M461" s="47"/>
      <c r="N461" s="47"/>
      <c r="O461" s="47"/>
    </row>
    <row r="462" spans="2:15" ht="11.25">
      <c r="B462" s="47"/>
      <c r="K462" s="35"/>
      <c r="L462" s="47"/>
      <c r="M462" s="47"/>
      <c r="N462" s="47"/>
      <c r="O462" s="47"/>
    </row>
    <row r="463" spans="2:15" ht="11.25">
      <c r="B463" s="47"/>
      <c r="K463" s="35"/>
      <c r="L463" s="47"/>
      <c r="M463" s="47"/>
      <c r="N463" s="47"/>
      <c r="O463" s="47"/>
    </row>
    <row r="464" spans="2:15" ht="11.25">
      <c r="B464" s="47"/>
      <c r="K464" s="35"/>
      <c r="L464" s="47"/>
      <c r="M464" s="47"/>
      <c r="N464" s="47"/>
      <c r="O464" s="47"/>
    </row>
    <row r="465" spans="2:15" ht="11.25">
      <c r="B465" s="47"/>
      <c r="K465" s="35"/>
      <c r="L465" s="47"/>
      <c r="M465" s="47"/>
      <c r="N465" s="47"/>
      <c r="O465" s="47"/>
    </row>
    <row r="466" spans="2:15" ht="11.25">
      <c r="B466" s="47"/>
      <c r="K466" s="35"/>
      <c r="L466" s="47"/>
      <c r="M466" s="47"/>
      <c r="N466" s="47"/>
      <c r="O466" s="47"/>
    </row>
    <row r="467" spans="2:15" ht="11.25">
      <c r="B467" s="47"/>
      <c r="K467" s="35"/>
      <c r="L467" s="47"/>
      <c r="M467" s="47"/>
      <c r="N467" s="47"/>
      <c r="O467" s="47"/>
    </row>
    <row r="468" spans="2:15" ht="11.25">
      <c r="B468" s="47"/>
      <c r="K468" s="35"/>
      <c r="L468" s="47"/>
      <c r="M468" s="47"/>
      <c r="N468" s="47"/>
      <c r="O468" s="47"/>
    </row>
    <row r="469" spans="2:15" ht="11.25">
      <c r="B469" s="47"/>
      <c r="K469" s="35"/>
      <c r="L469" s="47"/>
      <c r="M469" s="47"/>
      <c r="N469" s="47"/>
      <c r="O469" s="47"/>
    </row>
    <row r="470" spans="2:15" ht="11.25">
      <c r="B470" s="47"/>
      <c r="K470" s="35"/>
      <c r="L470" s="47"/>
      <c r="M470" s="47"/>
      <c r="N470" s="47"/>
      <c r="O470" s="47"/>
    </row>
    <row r="471" spans="2:15" ht="11.25">
      <c r="B471" s="47"/>
      <c r="K471" s="35"/>
      <c r="L471" s="47"/>
      <c r="M471" s="47"/>
      <c r="N471" s="47"/>
      <c r="O471" s="47"/>
    </row>
    <row r="472" spans="2:15" ht="11.25">
      <c r="B472" s="47"/>
      <c r="K472" s="35"/>
      <c r="L472" s="47"/>
      <c r="M472" s="47"/>
      <c r="N472" s="47"/>
      <c r="O472" s="47"/>
    </row>
    <row r="473" spans="2:15" ht="11.25">
      <c r="B473" s="47"/>
      <c r="K473" s="35"/>
      <c r="L473" s="47"/>
      <c r="M473" s="47"/>
      <c r="N473" s="47"/>
      <c r="O473" s="47"/>
    </row>
    <row r="474" spans="2:15" ht="11.25">
      <c r="B474" s="47"/>
      <c r="K474" s="35"/>
      <c r="L474" s="47"/>
      <c r="M474" s="47"/>
      <c r="N474" s="47"/>
      <c r="O474" s="47"/>
    </row>
    <row r="475" spans="2:15" ht="11.25">
      <c r="B475" s="47"/>
      <c r="K475" s="35"/>
      <c r="L475" s="47"/>
      <c r="M475" s="47"/>
      <c r="N475" s="47"/>
      <c r="O475" s="47"/>
    </row>
    <row r="476" spans="2:15" ht="11.25">
      <c r="B476" s="47"/>
      <c r="K476" s="35"/>
      <c r="L476" s="47"/>
      <c r="M476" s="47"/>
      <c r="N476" s="47"/>
      <c r="O476" s="47"/>
    </row>
    <row r="477" spans="2:15" ht="11.25">
      <c r="B477" s="47"/>
      <c r="K477" s="35"/>
      <c r="L477" s="47"/>
      <c r="M477" s="47"/>
      <c r="N477" s="47"/>
      <c r="O477" s="47"/>
    </row>
    <row r="478" spans="2:15" ht="11.25">
      <c r="B478" s="47"/>
      <c r="K478" s="35"/>
      <c r="L478" s="47"/>
      <c r="M478" s="47"/>
      <c r="N478" s="47"/>
      <c r="O478" s="47"/>
    </row>
    <row r="479" spans="2:15" ht="11.25">
      <c r="B479" s="47"/>
      <c r="K479" s="35"/>
      <c r="L479" s="47"/>
      <c r="M479" s="47"/>
      <c r="N479" s="47"/>
      <c r="O479" s="47"/>
    </row>
    <row r="480" spans="2:15" ht="11.25">
      <c r="B480" s="47"/>
      <c r="K480" s="35"/>
      <c r="L480" s="47"/>
      <c r="M480" s="47"/>
      <c r="N480" s="47"/>
      <c r="O480" s="47"/>
    </row>
    <row r="481" spans="2:15" ht="11.25">
      <c r="B481" s="47"/>
      <c r="K481" s="35"/>
      <c r="L481" s="47"/>
      <c r="M481" s="47"/>
      <c r="N481" s="47"/>
      <c r="O481" s="47"/>
    </row>
    <row r="482" spans="2:15" ht="11.25">
      <c r="B482" s="47"/>
      <c r="K482" s="35"/>
      <c r="L482" s="47"/>
      <c r="M482" s="47"/>
      <c r="N482" s="47"/>
      <c r="O482" s="47"/>
    </row>
    <row r="483" spans="2:15" ht="11.25">
      <c r="B483" s="47"/>
      <c r="K483" s="35"/>
      <c r="L483" s="47"/>
      <c r="M483" s="47"/>
      <c r="N483" s="47"/>
      <c r="O483" s="47"/>
    </row>
    <row r="484" spans="2:15" ht="11.25">
      <c r="B484" s="47"/>
      <c r="K484" s="35"/>
      <c r="L484" s="47"/>
      <c r="M484" s="47"/>
      <c r="N484" s="47"/>
      <c r="O484" s="47"/>
    </row>
    <row r="485" spans="2:15" ht="11.25">
      <c r="B485" s="47"/>
      <c r="K485" s="35"/>
      <c r="L485" s="47"/>
      <c r="M485" s="47"/>
      <c r="N485" s="47"/>
      <c r="O485" s="47"/>
    </row>
    <row r="486" spans="2:15" ht="11.25">
      <c r="B486" s="47"/>
      <c r="K486" s="35"/>
      <c r="L486" s="47"/>
      <c r="M486" s="47"/>
      <c r="N486" s="47"/>
      <c r="O486" s="47"/>
    </row>
    <row r="487" spans="2:15" ht="11.25">
      <c r="B487" s="47"/>
      <c r="K487" s="35"/>
      <c r="L487" s="47"/>
      <c r="M487" s="47"/>
      <c r="N487" s="47"/>
      <c r="O487" s="47"/>
    </row>
    <row r="488" spans="2:15" ht="11.25">
      <c r="B488" s="47"/>
      <c r="K488" s="35"/>
      <c r="L488" s="47"/>
      <c r="M488" s="47"/>
      <c r="N488" s="47"/>
      <c r="O488" s="47"/>
    </row>
    <row r="489" spans="2:15" ht="11.25">
      <c r="B489" s="47"/>
      <c r="K489" s="35"/>
      <c r="L489" s="47"/>
      <c r="M489" s="47"/>
      <c r="N489" s="47"/>
      <c r="O489" s="47"/>
    </row>
    <row r="490" spans="2:15" ht="11.25">
      <c r="B490" s="47"/>
      <c r="K490" s="35"/>
      <c r="L490" s="47"/>
      <c r="M490" s="47"/>
      <c r="N490" s="47"/>
      <c r="O490" s="47"/>
    </row>
    <row r="491" spans="2:15" ht="11.25">
      <c r="B491" s="47"/>
      <c r="K491" s="35"/>
      <c r="L491" s="47"/>
      <c r="M491" s="47"/>
      <c r="N491" s="47"/>
      <c r="O491" s="47"/>
    </row>
    <row r="492" spans="2:15" ht="11.25">
      <c r="B492" s="47"/>
      <c r="K492" s="35"/>
      <c r="L492" s="47"/>
      <c r="M492" s="47"/>
      <c r="N492" s="47"/>
      <c r="O492" s="47"/>
    </row>
    <row r="493" spans="2:15" ht="11.25">
      <c r="B493" s="47"/>
      <c r="K493" s="35"/>
      <c r="L493" s="47"/>
      <c r="M493" s="47"/>
      <c r="N493" s="47"/>
      <c r="O493" s="47"/>
    </row>
    <row r="494" spans="2:15" ht="11.25">
      <c r="B494" s="47"/>
      <c r="K494" s="35"/>
      <c r="L494" s="47"/>
      <c r="M494" s="47"/>
      <c r="N494" s="47"/>
      <c r="O494" s="47"/>
    </row>
    <row r="495" spans="2:15" ht="11.25">
      <c r="B495" s="47"/>
      <c r="K495" s="35"/>
      <c r="L495" s="47"/>
      <c r="M495" s="47"/>
      <c r="N495" s="47"/>
      <c r="O495" s="47"/>
    </row>
    <row r="496" spans="2:15" ht="11.25">
      <c r="B496" s="47"/>
      <c r="K496" s="35"/>
      <c r="L496" s="47"/>
      <c r="M496" s="47"/>
      <c r="N496" s="47"/>
      <c r="O496" s="47"/>
    </row>
    <row r="497" spans="2:15" ht="11.25">
      <c r="B497" s="47"/>
      <c r="K497" s="35"/>
      <c r="L497" s="47"/>
      <c r="M497" s="47"/>
      <c r="N497" s="47"/>
      <c r="O497" s="47"/>
    </row>
    <row r="498" spans="2:15" ht="11.25">
      <c r="B498" s="47"/>
      <c r="K498" s="35"/>
      <c r="L498" s="47"/>
      <c r="M498" s="47"/>
      <c r="N498" s="47"/>
      <c r="O498" s="47"/>
    </row>
    <row r="499" spans="2:15" ht="11.25">
      <c r="B499" s="47"/>
      <c r="K499" s="35"/>
      <c r="L499" s="47"/>
      <c r="M499" s="47"/>
      <c r="N499" s="47"/>
      <c r="O499" s="47"/>
    </row>
    <row r="500" spans="2:15" ht="11.25">
      <c r="B500" s="47"/>
      <c r="K500" s="35"/>
      <c r="L500" s="47"/>
      <c r="M500" s="47"/>
      <c r="N500" s="47"/>
      <c r="O500" s="47"/>
    </row>
    <row r="501" spans="2:15" ht="11.25">
      <c r="B501" s="47"/>
      <c r="K501" s="35"/>
      <c r="L501" s="47"/>
      <c r="M501" s="47"/>
      <c r="N501" s="47"/>
      <c r="O501" s="47"/>
    </row>
    <row r="502" spans="2:15" ht="11.25">
      <c r="B502" s="47"/>
      <c r="K502" s="35"/>
      <c r="L502" s="47"/>
      <c r="M502" s="47"/>
      <c r="N502" s="47"/>
      <c r="O502" s="47"/>
    </row>
    <row r="503" spans="2:15" ht="11.25">
      <c r="B503" s="47"/>
      <c r="K503" s="35"/>
      <c r="L503" s="47"/>
      <c r="M503" s="47"/>
      <c r="N503" s="47"/>
      <c r="O503" s="47"/>
    </row>
    <row r="504" spans="2:15" ht="11.25">
      <c r="B504" s="47"/>
      <c r="K504" s="35"/>
      <c r="L504" s="47"/>
      <c r="M504" s="47"/>
      <c r="N504" s="47"/>
      <c r="O504" s="47"/>
    </row>
    <row r="505" spans="2:15" ht="11.25">
      <c r="B505" s="47"/>
      <c r="K505" s="35"/>
      <c r="L505" s="47"/>
      <c r="M505" s="47"/>
      <c r="N505" s="47"/>
      <c r="O505" s="47"/>
    </row>
    <row r="506" spans="2:15" ht="11.25">
      <c r="B506" s="47"/>
      <c r="K506" s="35"/>
      <c r="L506" s="47"/>
      <c r="M506" s="47"/>
      <c r="N506" s="47"/>
      <c r="O506" s="47"/>
    </row>
    <row r="507" spans="2:15" ht="11.25">
      <c r="B507" s="47"/>
      <c r="K507" s="35"/>
      <c r="L507" s="47"/>
      <c r="M507" s="47"/>
      <c r="N507" s="47"/>
      <c r="O507" s="47"/>
    </row>
    <row r="508" spans="2:15" ht="11.25">
      <c r="B508" s="47"/>
      <c r="K508" s="35"/>
      <c r="L508" s="47"/>
      <c r="M508" s="47"/>
      <c r="N508" s="47"/>
      <c r="O508" s="47"/>
    </row>
    <row r="509" spans="2:15" ht="11.25">
      <c r="B509" s="47"/>
      <c r="K509" s="35"/>
      <c r="L509" s="47"/>
      <c r="M509" s="47"/>
      <c r="N509" s="47"/>
      <c r="O509" s="47"/>
    </row>
    <row r="510" spans="2:15" ht="11.25">
      <c r="B510" s="47"/>
      <c r="K510" s="35"/>
      <c r="L510" s="47"/>
      <c r="M510" s="47"/>
      <c r="N510" s="47"/>
      <c r="O510" s="47"/>
    </row>
    <row r="511" spans="2:15" ht="11.25">
      <c r="B511" s="47"/>
      <c r="K511" s="35"/>
      <c r="L511" s="47"/>
      <c r="M511" s="47"/>
      <c r="N511" s="47"/>
      <c r="O511" s="47"/>
    </row>
    <row r="512" spans="2:15" ht="11.25">
      <c r="B512" s="47"/>
      <c r="K512" s="35"/>
      <c r="L512" s="47"/>
      <c r="M512" s="47"/>
      <c r="N512" s="47"/>
      <c r="O512" s="47"/>
    </row>
    <row r="513" spans="2:15" ht="11.25">
      <c r="B513" s="47"/>
      <c r="K513" s="35"/>
      <c r="L513" s="47"/>
      <c r="M513" s="47"/>
      <c r="N513" s="47"/>
      <c r="O513" s="47"/>
    </row>
    <row r="514" spans="2:15" ht="11.25">
      <c r="B514" s="47"/>
      <c r="K514" s="35"/>
      <c r="L514" s="47"/>
      <c r="M514" s="47"/>
      <c r="N514" s="47"/>
      <c r="O514" s="47"/>
    </row>
    <row r="515" spans="2:15" ht="11.25">
      <c r="B515" s="47"/>
      <c r="K515" s="35"/>
      <c r="L515" s="47"/>
      <c r="M515" s="47"/>
      <c r="N515" s="47"/>
      <c r="O515" s="47"/>
    </row>
    <row r="516" spans="2:15" ht="11.25">
      <c r="B516" s="47"/>
      <c r="K516" s="35"/>
      <c r="L516" s="47"/>
      <c r="M516" s="47"/>
      <c r="N516" s="47"/>
      <c r="O516" s="47"/>
    </row>
    <row r="517" spans="2:15" ht="11.25">
      <c r="B517" s="47"/>
      <c r="K517" s="35"/>
      <c r="L517" s="47"/>
      <c r="M517" s="47"/>
      <c r="N517" s="47"/>
      <c r="O517" s="47"/>
    </row>
    <row r="518" spans="2:15" ht="11.25">
      <c r="B518" s="47"/>
      <c r="K518" s="35"/>
      <c r="L518" s="47"/>
      <c r="M518" s="47"/>
      <c r="N518" s="47"/>
      <c r="O518" s="47"/>
    </row>
    <row r="519" spans="2:15" ht="11.25">
      <c r="B519" s="47"/>
      <c r="K519" s="35"/>
      <c r="L519" s="47"/>
      <c r="M519" s="47"/>
      <c r="N519" s="47"/>
      <c r="O519" s="47"/>
    </row>
    <row r="520" spans="2:15" ht="11.25">
      <c r="B520" s="47"/>
      <c r="K520" s="35"/>
      <c r="L520" s="47"/>
      <c r="M520" s="47"/>
      <c r="N520" s="47"/>
      <c r="O520" s="47"/>
    </row>
    <row r="521" spans="2:15" ht="11.25">
      <c r="B521" s="47"/>
      <c r="K521" s="35"/>
      <c r="L521" s="47"/>
      <c r="M521" s="47"/>
      <c r="N521" s="47"/>
      <c r="O521" s="47"/>
    </row>
    <row r="522" spans="2:15" ht="11.25">
      <c r="B522" s="47"/>
      <c r="K522" s="35"/>
      <c r="L522" s="47"/>
      <c r="M522" s="47"/>
      <c r="N522" s="47"/>
      <c r="O522" s="47"/>
    </row>
    <row r="523" spans="2:15" ht="11.25">
      <c r="B523" s="47"/>
      <c r="K523" s="35"/>
      <c r="L523" s="47"/>
      <c r="M523" s="47"/>
      <c r="N523" s="47"/>
      <c r="O523" s="47"/>
    </row>
    <row r="524" spans="2:15" ht="11.25">
      <c r="B524" s="47"/>
      <c r="K524" s="35"/>
      <c r="L524" s="47"/>
      <c r="M524" s="47"/>
      <c r="N524" s="47"/>
      <c r="O524" s="47"/>
    </row>
    <row r="525" spans="2:15" ht="11.25">
      <c r="B525" s="47"/>
      <c r="K525" s="35"/>
      <c r="L525" s="47"/>
      <c r="M525" s="47"/>
      <c r="N525" s="47"/>
      <c r="O525" s="47"/>
    </row>
    <row r="526" spans="2:15" ht="11.25">
      <c r="B526" s="47"/>
      <c r="K526" s="35"/>
      <c r="L526" s="47"/>
      <c r="M526" s="47"/>
      <c r="N526" s="47"/>
      <c r="O526" s="47"/>
    </row>
    <row r="527" spans="2:15" ht="11.25">
      <c r="B527" s="47"/>
      <c r="K527" s="35"/>
      <c r="L527" s="47"/>
      <c r="M527" s="47"/>
      <c r="N527" s="47"/>
      <c r="O527" s="47"/>
    </row>
    <row r="528" spans="2:15" ht="11.25">
      <c r="B528" s="47"/>
      <c r="K528" s="35"/>
      <c r="L528" s="47"/>
      <c r="M528" s="47"/>
      <c r="N528" s="47"/>
      <c r="O528" s="47"/>
    </row>
    <row r="529" spans="2:15" ht="11.25">
      <c r="B529" s="47"/>
      <c r="K529" s="35"/>
      <c r="L529" s="47"/>
      <c r="M529" s="47"/>
      <c r="N529" s="47"/>
      <c r="O529" s="47"/>
    </row>
    <row r="530" spans="2:15" ht="11.25">
      <c r="B530" s="47"/>
      <c r="K530" s="35"/>
      <c r="L530" s="47"/>
      <c r="M530" s="47"/>
      <c r="N530" s="47"/>
      <c r="O530" s="47"/>
    </row>
    <row r="531" spans="2:15" ht="11.25">
      <c r="B531" s="47"/>
      <c r="K531" s="35"/>
      <c r="L531" s="47"/>
      <c r="M531" s="47"/>
      <c r="N531" s="47"/>
      <c r="O531" s="47"/>
    </row>
    <row r="532" spans="2:15" ht="11.25">
      <c r="B532" s="47"/>
      <c r="K532" s="35"/>
      <c r="L532" s="47"/>
      <c r="M532" s="47"/>
      <c r="N532" s="47"/>
      <c r="O532" s="47"/>
    </row>
    <row r="533" spans="2:15" ht="11.25">
      <c r="B533" s="47"/>
      <c r="K533" s="35"/>
      <c r="L533" s="47"/>
      <c r="M533" s="47"/>
      <c r="N533" s="47"/>
      <c r="O533" s="47"/>
    </row>
    <row r="534" spans="2:15" ht="11.25">
      <c r="B534" s="47"/>
      <c r="K534" s="35"/>
      <c r="L534" s="47"/>
      <c r="M534" s="47"/>
      <c r="N534" s="47"/>
      <c r="O534" s="47"/>
    </row>
    <row r="535" spans="2:15" ht="11.25">
      <c r="B535" s="47"/>
      <c r="K535" s="35"/>
      <c r="L535" s="47"/>
      <c r="M535" s="47"/>
      <c r="N535" s="47"/>
      <c r="O535" s="47"/>
    </row>
    <row r="536" spans="2:15" ht="11.25">
      <c r="B536" s="47"/>
      <c r="K536" s="35"/>
      <c r="L536" s="47"/>
      <c r="M536" s="47"/>
      <c r="N536" s="47"/>
      <c r="O536" s="47"/>
    </row>
    <row r="537" spans="2:15" ht="11.25">
      <c r="B537" s="47"/>
      <c r="K537" s="35"/>
      <c r="L537" s="47"/>
      <c r="M537" s="47"/>
      <c r="N537" s="47"/>
      <c r="O537" s="47"/>
    </row>
    <row r="538" spans="2:15" ht="11.25">
      <c r="B538" s="47"/>
      <c r="K538" s="35"/>
      <c r="L538" s="47"/>
      <c r="M538" s="47"/>
      <c r="N538" s="47"/>
      <c r="O538" s="47"/>
    </row>
    <row r="539" spans="2:15" ht="11.25">
      <c r="B539" s="47"/>
      <c r="K539" s="35"/>
      <c r="L539" s="47"/>
      <c r="M539" s="47"/>
      <c r="N539" s="47"/>
      <c r="O539" s="47"/>
    </row>
    <row r="540" spans="2:15" ht="11.25">
      <c r="B540" s="47"/>
      <c r="K540" s="35"/>
      <c r="L540" s="47"/>
      <c r="M540" s="47"/>
      <c r="N540" s="47"/>
      <c r="O540" s="47"/>
    </row>
    <row r="541" spans="2:15" ht="11.25">
      <c r="B541" s="47"/>
      <c r="K541" s="35"/>
      <c r="L541" s="47"/>
      <c r="M541" s="47"/>
      <c r="N541" s="47"/>
      <c r="O541" s="47"/>
    </row>
    <row r="542" spans="2:15" ht="11.25">
      <c r="B542" s="47"/>
      <c r="K542" s="35"/>
      <c r="L542" s="47"/>
      <c r="M542" s="47"/>
      <c r="N542" s="47"/>
      <c r="O542" s="47"/>
    </row>
    <row r="543" spans="2:15" ht="11.25">
      <c r="B543" s="47"/>
      <c r="K543" s="35"/>
      <c r="L543" s="47"/>
      <c r="M543" s="47"/>
      <c r="N543" s="47"/>
      <c r="O543" s="47"/>
    </row>
    <row r="544" spans="2:15" ht="11.25">
      <c r="B544" s="47"/>
      <c r="K544" s="35"/>
      <c r="L544" s="47"/>
      <c r="M544" s="47"/>
      <c r="N544" s="47"/>
      <c r="O544" s="47"/>
    </row>
    <row r="545" spans="2:15" ht="11.25">
      <c r="B545" s="47"/>
      <c r="K545" s="35"/>
      <c r="L545" s="47"/>
      <c r="M545" s="47"/>
      <c r="N545" s="47"/>
      <c r="O545" s="47"/>
    </row>
    <row r="546" spans="2:15" ht="11.25">
      <c r="B546" s="47"/>
      <c r="K546" s="35"/>
      <c r="L546" s="47"/>
      <c r="M546" s="47"/>
      <c r="N546" s="47"/>
      <c r="O546" s="47"/>
    </row>
    <row r="547" spans="2:15" ht="11.25">
      <c r="B547" s="47"/>
      <c r="K547" s="35"/>
      <c r="L547" s="47"/>
      <c r="M547" s="47"/>
      <c r="N547" s="47"/>
      <c r="O547" s="47"/>
    </row>
    <row r="548" spans="2:15" ht="11.25">
      <c r="B548" s="47"/>
      <c r="K548" s="35"/>
      <c r="L548" s="47"/>
      <c r="M548" s="47"/>
      <c r="N548" s="47"/>
      <c r="O548" s="47"/>
    </row>
    <row r="549" spans="2:15" ht="11.25">
      <c r="B549" s="47"/>
      <c r="K549" s="35"/>
      <c r="L549" s="47"/>
      <c r="M549" s="47"/>
      <c r="N549" s="47"/>
      <c r="O549" s="47"/>
    </row>
    <row r="550" spans="2:15" ht="11.25">
      <c r="B550" s="47"/>
      <c r="K550" s="35"/>
      <c r="L550" s="47"/>
      <c r="M550" s="47"/>
      <c r="N550" s="47"/>
      <c r="O550" s="47"/>
    </row>
    <row r="551" spans="2:15" ht="11.25">
      <c r="B551" s="47"/>
      <c r="K551" s="35"/>
      <c r="L551" s="47"/>
      <c r="M551" s="47"/>
      <c r="N551" s="47"/>
      <c r="O551" s="47"/>
    </row>
    <row r="552" spans="2:15" ht="11.25">
      <c r="B552" s="47"/>
      <c r="K552" s="35"/>
      <c r="L552" s="47"/>
      <c r="M552" s="47"/>
      <c r="N552" s="47"/>
      <c r="O552" s="47"/>
    </row>
    <row r="553" spans="2:15" ht="11.25">
      <c r="B553" s="47"/>
      <c r="K553" s="35"/>
      <c r="L553" s="47"/>
      <c r="M553" s="47"/>
      <c r="N553" s="47"/>
      <c r="O553" s="47"/>
    </row>
    <row r="554" spans="2:15" ht="11.25">
      <c r="B554" s="47"/>
      <c r="K554" s="35"/>
      <c r="L554" s="47"/>
      <c r="M554" s="47"/>
      <c r="N554" s="47"/>
      <c r="O554" s="47"/>
    </row>
    <row r="555" spans="2:15" ht="11.25">
      <c r="B555" s="47"/>
      <c r="K555" s="35"/>
      <c r="L555" s="47"/>
      <c r="M555" s="47"/>
      <c r="N555" s="47"/>
      <c r="O555" s="47"/>
    </row>
    <row r="556" spans="2:15" ht="11.25">
      <c r="B556" s="47"/>
      <c r="K556" s="35"/>
      <c r="L556" s="47"/>
      <c r="M556" s="47"/>
      <c r="N556" s="47"/>
      <c r="O556" s="47"/>
    </row>
    <row r="557" spans="2:15" ht="11.25">
      <c r="B557" s="47"/>
      <c r="K557" s="35"/>
      <c r="L557" s="47"/>
      <c r="M557" s="47"/>
      <c r="N557" s="47"/>
      <c r="O557" s="47"/>
    </row>
    <row r="558" spans="2:15" ht="11.25">
      <c r="B558" s="47"/>
      <c r="K558" s="35"/>
      <c r="L558" s="47"/>
      <c r="M558" s="47"/>
      <c r="N558" s="47"/>
      <c r="O558" s="47"/>
    </row>
    <row r="559" spans="2:15" ht="11.25">
      <c r="B559" s="47"/>
      <c r="K559" s="35"/>
      <c r="L559" s="47"/>
      <c r="M559" s="47"/>
      <c r="N559" s="47"/>
      <c r="O559" s="47"/>
    </row>
    <row r="560" spans="2:15" ht="11.25">
      <c r="B560" s="47"/>
      <c r="K560" s="35"/>
      <c r="L560" s="47"/>
      <c r="M560" s="47"/>
      <c r="N560" s="47"/>
      <c r="O560" s="47"/>
    </row>
    <row r="561" spans="2:15" ht="11.25">
      <c r="B561" s="47"/>
      <c r="K561" s="35"/>
      <c r="L561" s="47"/>
      <c r="M561" s="47"/>
      <c r="N561" s="47"/>
      <c r="O561" s="47"/>
    </row>
    <row r="562" spans="2:15" ht="11.25">
      <c r="B562" s="47"/>
      <c r="K562" s="35"/>
      <c r="L562" s="47"/>
      <c r="M562" s="47"/>
      <c r="N562" s="47"/>
      <c r="O562" s="47"/>
    </row>
    <row r="563" spans="2:15" ht="11.25">
      <c r="B563" s="47"/>
      <c r="K563" s="35"/>
      <c r="L563" s="47"/>
      <c r="M563" s="47"/>
      <c r="N563" s="47"/>
      <c r="O563" s="47"/>
    </row>
    <row r="564" spans="2:15" ht="11.25">
      <c r="B564" s="47"/>
      <c r="K564" s="35"/>
      <c r="L564" s="47"/>
      <c r="M564" s="47"/>
      <c r="N564" s="47"/>
      <c r="O564" s="47"/>
    </row>
    <row r="565" spans="2:15" ht="11.25">
      <c r="B565" s="47"/>
      <c r="K565" s="35"/>
      <c r="L565" s="47"/>
      <c r="M565" s="47"/>
      <c r="N565" s="47"/>
      <c r="O565" s="47"/>
    </row>
    <row r="566" spans="2:15" ht="11.25">
      <c r="B566" s="47"/>
      <c r="K566" s="35"/>
      <c r="L566" s="47"/>
      <c r="M566" s="47"/>
      <c r="N566" s="47"/>
      <c r="O566" s="47"/>
    </row>
    <row r="567" spans="2:15" ht="11.25">
      <c r="B567" s="47"/>
      <c r="K567" s="35"/>
      <c r="L567" s="47"/>
      <c r="M567" s="47"/>
      <c r="N567" s="47"/>
      <c r="O567" s="47"/>
    </row>
    <row r="568" spans="2:15" ht="11.25">
      <c r="B568" s="47"/>
      <c r="K568" s="35"/>
      <c r="L568" s="47"/>
      <c r="M568" s="47"/>
      <c r="N568" s="47"/>
      <c r="O568" s="47"/>
    </row>
    <row r="569" spans="2:15" ht="11.25">
      <c r="B569" s="47"/>
      <c r="K569" s="35"/>
      <c r="L569" s="47"/>
      <c r="M569" s="47"/>
      <c r="N569" s="47"/>
      <c r="O569" s="47"/>
    </row>
    <row r="570" spans="2:15" ht="11.25">
      <c r="B570" s="47"/>
      <c r="K570" s="35"/>
      <c r="L570" s="47"/>
      <c r="M570" s="47"/>
      <c r="N570" s="47"/>
      <c r="O570" s="47"/>
    </row>
    <row r="571" spans="2:15" ht="11.25">
      <c r="B571" s="47"/>
      <c r="K571" s="35"/>
      <c r="L571" s="47"/>
      <c r="M571" s="47"/>
      <c r="N571" s="47"/>
      <c r="O571" s="47"/>
    </row>
    <row r="572" spans="2:15" ht="11.25">
      <c r="B572" s="47"/>
      <c r="K572" s="35"/>
      <c r="L572" s="47"/>
      <c r="M572" s="47"/>
      <c r="N572" s="47"/>
      <c r="O572" s="47"/>
    </row>
    <row r="573" spans="2:15" ht="11.25">
      <c r="B573" s="47"/>
      <c r="K573" s="35"/>
      <c r="L573" s="47"/>
      <c r="M573" s="47"/>
      <c r="N573" s="47"/>
      <c r="O573" s="47"/>
    </row>
    <row r="574" spans="2:15" ht="11.25">
      <c r="B574" s="47"/>
      <c r="K574" s="35"/>
      <c r="L574" s="47"/>
      <c r="M574" s="47"/>
      <c r="N574" s="47"/>
      <c r="O574" s="47"/>
    </row>
    <row r="575" spans="2:15" ht="11.25">
      <c r="B575" s="47"/>
      <c r="K575" s="35"/>
      <c r="L575" s="47"/>
      <c r="M575" s="47"/>
      <c r="N575" s="47"/>
      <c r="O575" s="47"/>
    </row>
    <row r="576" spans="2:15" ht="11.25">
      <c r="B576" s="47"/>
      <c r="K576" s="35"/>
      <c r="L576" s="47"/>
      <c r="M576" s="47"/>
      <c r="N576" s="47"/>
      <c r="O576" s="47"/>
    </row>
    <row r="577" spans="2:15" ht="11.25">
      <c r="B577" s="47"/>
      <c r="K577" s="35"/>
      <c r="L577" s="47"/>
      <c r="M577" s="47"/>
      <c r="N577" s="47"/>
      <c r="O577" s="47"/>
    </row>
    <row r="578" spans="2:15" ht="11.25">
      <c r="B578" s="47"/>
      <c r="K578" s="35"/>
      <c r="L578" s="47"/>
      <c r="M578" s="47"/>
      <c r="N578" s="47"/>
      <c r="O578" s="47"/>
    </row>
    <row r="579" spans="2:15" ht="11.25">
      <c r="B579" s="47"/>
      <c r="K579" s="35"/>
      <c r="L579" s="47"/>
      <c r="M579" s="47"/>
      <c r="N579" s="47"/>
      <c r="O579" s="47"/>
    </row>
    <row r="580" spans="2:15" ht="11.25">
      <c r="B580" s="47"/>
      <c r="K580" s="35"/>
      <c r="L580" s="47"/>
      <c r="M580" s="47"/>
      <c r="N580" s="47"/>
      <c r="O580" s="47"/>
    </row>
    <row r="581" spans="2:15" ht="11.25">
      <c r="B581" s="47"/>
      <c r="K581" s="35"/>
      <c r="L581" s="47"/>
      <c r="M581" s="47"/>
      <c r="N581" s="47"/>
      <c r="O581" s="47"/>
    </row>
    <row r="582" spans="2:15" ht="11.25">
      <c r="B582" s="47"/>
      <c r="K582" s="35"/>
      <c r="L582" s="47"/>
      <c r="M582" s="47"/>
      <c r="N582" s="47"/>
      <c r="O582" s="47"/>
    </row>
    <row r="583" spans="2:15" ht="11.25">
      <c r="B583" s="47"/>
      <c r="K583" s="35"/>
      <c r="L583" s="47"/>
      <c r="M583" s="47"/>
      <c r="N583" s="47"/>
      <c r="O583" s="47"/>
    </row>
    <row r="584" spans="2:15" ht="11.25">
      <c r="B584" s="47"/>
      <c r="K584" s="35"/>
      <c r="L584" s="47"/>
      <c r="M584" s="47"/>
      <c r="N584" s="47"/>
      <c r="O584" s="47"/>
    </row>
    <row r="585" spans="2:15" ht="11.25">
      <c r="B585" s="47"/>
      <c r="K585" s="35"/>
      <c r="L585" s="47"/>
      <c r="M585" s="47"/>
      <c r="N585" s="47"/>
      <c r="O585" s="47"/>
    </row>
    <row r="586" ht="11.25">
      <c r="B586" s="47"/>
    </row>
    <row r="587" ht="11.25">
      <c r="B587" s="47"/>
    </row>
    <row r="588" ht="11.25">
      <c r="B588" s="47"/>
    </row>
    <row r="589" ht="11.25">
      <c r="B589" s="47"/>
    </row>
    <row r="590" ht="11.25">
      <c r="B590" s="47"/>
    </row>
    <row r="591" ht="11.25">
      <c r="B591" s="47"/>
    </row>
    <row r="592" ht="11.25">
      <c r="B592" s="47"/>
    </row>
    <row r="593" ht="11.25">
      <c r="B593" s="47"/>
    </row>
    <row r="594" ht="11.25">
      <c r="B594" s="47"/>
    </row>
    <row r="595" ht="11.25">
      <c r="B595" s="47"/>
    </row>
    <row r="596" ht="11.25">
      <c r="B596" s="47"/>
    </row>
    <row r="597" ht="11.25">
      <c r="B597" s="47"/>
    </row>
    <row r="598" ht="11.25">
      <c r="B598" s="47"/>
    </row>
  </sheetData>
  <printOptions/>
  <pageMargins left="0.5" right="0.75" top="0.7086614173228347" bottom="0.1968503937007874" header="0.3149606299212598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5" sqref="B25"/>
    </sheetView>
  </sheetViews>
  <sheetFormatPr defaultColWidth="9.00390625" defaultRowHeight="12" customHeight="1"/>
  <cols>
    <col min="1" max="1" width="33.625" style="159" customWidth="1"/>
    <col min="2" max="2" width="10.75390625" style="159" customWidth="1"/>
    <col min="3" max="3" width="12.75390625" style="159" customWidth="1"/>
    <col min="4" max="4" width="11.875" style="159" customWidth="1"/>
    <col min="5" max="5" width="9.75390625" style="160" bestFit="1" customWidth="1"/>
    <col min="6" max="6" width="12.375" style="160" customWidth="1"/>
    <col min="7" max="7" width="9.00390625" style="160" customWidth="1"/>
    <col min="8" max="8" width="15.00390625" style="159" customWidth="1"/>
    <col min="9" max="16384" width="13.875" style="159" customWidth="1"/>
  </cols>
  <sheetData>
    <row r="1" spans="7:8" ht="16.5" customHeight="1">
      <c r="G1" s="303" t="s">
        <v>175</v>
      </c>
      <c r="H1" s="303"/>
    </row>
    <row r="3" spans="1:27" ht="25.5" customHeight="1">
      <c r="A3" s="302" t="s">
        <v>179</v>
      </c>
      <c r="B3" s="302"/>
      <c r="C3" s="302"/>
      <c r="D3" s="302"/>
      <c r="E3" s="302"/>
      <c r="F3" s="302"/>
      <c r="G3" s="302"/>
      <c r="H3" s="302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0.5" customHeight="1">
      <c r="A4" s="148" t="s">
        <v>148</v>
      </c>
      <c r="B4" s="148"/>
      <c r="C4" s="161"/>
      <c r="D4" s="161"/>
      <c r="E4" s="161"/>
      <c r="F4" s="161"/>
      <c r="G4" s="161"/>
      <c r="H4" s="161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8" ht="30" customHeight="1">
      <c r="A5" s="98"/>
      <c r="B5" s="54"/>
      <c r="C5" s="27"/>
      <c r="D5" s="51"/>
      <c r="E5" s="162"/>
      <c r="F5" s="162"/>
      <c r="G5" s="162"/>
      <c r="H5" s="27"/>
    </row>
    <row r="6" spans="1:9" ht="11.25">
      <c r="A6" s="105"/>
      <c r="B6" s="106" t="s">
        <v>80</v>
      </c>
      <c r="C6" s="107"/>
      <c r="D6" s="108"/>
      <c r="E6" s="109"/>
      <c r="F6" s="110"/>
      <c r="G6" s="110"/>
      <c r="H6" s="111"/>
      <c r="I6" s="112"/>
    </row>
    <row r="7" spans="1:9" ht="33.75">
      <c r="A7" s="113" t="s">
        <v>81</v>
      </c>
      <c r="B7" s="114" t="s">
        <v>82</v>
      </c>
      <c r="C7" s="114" t="s">
        <v>83</v>
      </c>
      <c r="D7" s="114" t="s">
        <v>84</v>
      </c>
      <c r="E7" s="115" t="s">
        <v>85</v>
      </c>
      <c r="F7" s="116" t="s">
        <v>131</v>
      </c>
      <c r="G7" s="116" t="s">
        <v>132</v>
      </c>
      <c r="H7" s="117" t="s">
        <v>86</v>
      </c>
      <c r="I7" s="112"/>
    </row>
    <row r="8" spans="1:9" ht="12" customHeight="1">
      <c r="A8" s="118" t="s">
        <v>87</v>
      </c>
      <c r="B8" s="119"/>
      <c r="C8" s="119"/>
      <c r="D8" s="119"/>
      <c r="E8" s="119"/>
      <c r="F8" s="119"/>
      <c r="G8" s="119"/>
      <c r="H8" s="120"/>
      <c r="I8" s="112"/>
    </row>
    <row r="9" spans="1:9" ht="12" customHeight="1">
      <c r="A9" s="121" t="s">
        <v>115</v>
      </c>
      <c r="B9" s="122">
        <v>0.66</v>
      </c>
      <c r="C9" s="122">
        <v>0.67</v>
      </c>
      <c r="D9" s="122">
        <v>0.66</v>
      </c>
      <c r="E9" s="122">
        <f>SUM(B9:D9)</f>
        <v>1.9900000000000002</v>
      </c>
      <c r="F9" s="241">
        <v>54</v>
      </c>
      <c r="G9" s="242">
        <v>0.1</v>
      </c>
      <c r="H9" s="123">
        <v>25233</v>
      </c>
      <c r="I9" s="112"/>
    </row>
    <row r="10" spans="1:9" ht="12" customHeight="1">
      <c r="A10" s="121" t="s">
        <v>109</v>
      </c>
      <c r="B10" s="122">
        <v>0.33</v>
      </c>
      <c r="C10" s="122">
        <v>0.33</v>
      </c>
      <c r="D10" s="122">
        <v>0.33</v>
      </c>
      <c r="E10" s="122">
        <f aca="true" t="shared" si="0" ref="E10:E20">SUM(B10:D10)</f>
        <v>0.99</v>
      </c>
      <c r="F10" s="241">
        <v>54</v>
      </c>
      <c r="G10" s="242">
        <v>0.1</v>
      </c>
      <c r="H10" s="123">
        <v>25233</v>
      </c>
      <c r="I10" s="112"/>
    </row>
    <row r="11" spans="1:9" ht="12" customHeight="1">
      <c r="A11" s="124" t="s">
        <v>110</v>
      </c>
      <c r="B11" s="122">
        <v>0</v>
      </c>
      <c r="C11" s="122">
        <v>1</v>
      </c>
      <c r="D11" s="122">
        <v>3</v>
      </c>
      <c r="E11" s="122">
        <f t="shared" si="0"/>
        <v>4</v>
      </c>
      <c r="F11" s="241">
        <v>47</v>
      </c>
      <c r="G11" s="242">
        <v>0.1</v>
      </c>
      <c r="H11" s="127">
        <v>21942</v>
      </c>
      <c r="I11" s="112"/>
    </row>
    <row r="12" spans="1:9" ht="12" customHeight="1">
      <c r="A12" s="124" t="s">
        <v>180</v>
      </c>
      <c r="B12" s="122">
        <v>7</v>
      </c>
      <c r="C12" s="122">
        <v>12.3</v>
      </c>
      <c r="D12" s="122">
        <v>7</v>
      </c>
      <c r="E12" s="122">
        <f t="shared" si="0"/>
        <v>26.3</v>
      </c>
      <c r="F12" s="241">
        <v>38</v>
      </c>
      <c r="G12" s="242">
        <v>0.1</v>
      </c>
      <c r="H12" s="127">
        <v>19080</v>
      </c>
      <c r="I12" s="112"/>
    </row>
    <row r="13" spans="1:9" ht="12" customHeight="1">
      <c r="A13" s="124" t="s">
        <v>181</v>
      </c>
      <c r="B13" s="122">
        <v>1.95</v>
      </c>
      <c r="C13" s="122">
        <v>9.12</v>
      </c>
      <c r="D13" s="122">
        <v>6</v>
      </c>
      <c r="E13" s="122">
        <f t="shared" si="0"/>
        <v>17.07</v>
      </c>
      <c r="F13" s="241">
        <v>39</v>
      </c>
      <c r="G13" s="242">
        <v>0.1</v>
      </c>
      <c r="H13" s="127">
        <v>19080</v>
      </c>
      <c r="I13" s="112"/>
    </row>
    <row r="14" spans="1:9" ht="12" customHeight="1">
      <c r="A14" s="126" t="s">
        <v>182</v>
      </c>
      <c r="B14" s="122">
        <v>0.2</v>
      </c>
      <c r="C14" s="122">
        <v>0.08</v>
      </c>
      <c r="D14" s="122">
        <v>1</v>
      </c>
      <c r="E14" s="122">
        <f t="shared" si="0"/>
        <v>1.28</v>
      </c>
      <c r="F14" s="273">
        <v>37</v>
      </c>
      <c r="G14" s="242">
        <v>0.1</v>
      </c>
      <c r="H14" s="127">
        <v>19080</v>
      </c>
      <c r="I14" s="112"/>
    </row>
    <row r="15" spans="1:9" ht="12" customHeight="1">
      <c r="A15" s="126" t="s">
        <v>111</v>
      </c>
      <c r="B15" s="174">
        <v>0.333</v>
      </c>
      <c r="C15" s="174">
        <v>0.333</v>
      </c>
      <c r="D15" s="174">
        <v>2.04</v>
      </c>
      <c r="E15" s="175">
        <f t="shared" si="0"/>
        <v>2.706</v>
      </c>
      <c r="F15" s="241">
        <v>37</v>
      </c>
      <c r="G15" s="242">
        <v>0.1</v>
      </c>
      <c r="H15" s="127"/>
      <c r="I15" s="112"/>
    </row>
    <row r="16" spans="1:9" ht="12" customHeight="1">
      <c r="A16" s="121" t="s">
        <v>112</v>
      </c>
      <c r="B16" s="122">
        <v>0.2</v>
      </c>
      <c r="C16" s="122">
        <v>0.2</v>
      </c>
      <c r="D16" s="122">
        <v>0.2</v>
      </c>
      <c r="E16" s="122">
        <f t="shared" si="0"/>
        <v>0.6000000000000001</v>
      </c>
      <c r="F16" s="241">
        <v>39</v>
      </c>
      <c r="G16" s="242">
        <v>0.1</v>
      </c>
      <c r="H16" s="127">
        <v>19080</v>
      </c>
      <c r="I16" s="112"/>
    </row>
    <row r="17" spans="1:9" ht="12" customHeight="1">
      <c r="A17" s="121" t="s">
        <v>117</v>
      </c>
      <c r="B17" s="122">
        <v>0.5</v>
      </c>
      <c r="C17" s="122">
        <v>0.5</v>
      </c>
      <c r="D17" s="122">
        <v>0.5</v>
      </c>
      <c r="E17" s="122">
        <f>SUM(B17:D17)</f>
        <v>1.5</v>
      </c>
      <c r="F17" s="241">
        <v>37</v>
      </c>
      <c r="G17" s="242">
        <v>0.1</v>
      </c>
      <c r="H17" s="127">
        <v>18603</v>
      </c>
      <c r="I17" s="112"/>
    </row>
    <row r="18" spans="1:9" ht="12" customHeight="1">
      <c r="A18" s="121" t="s">
        <v>116</v>
      </c>
      <c r="B18" s="122">
        <v>0.5</v>
      </c>
      <c r="C18" s="122">
        <v>0.5</v>
      </c>
      <c r="D18" s="122">
        <v>0.5</v>
      </c>
      <c r="E18" s="122">
        <f t="shared" si="0"/>
        <v>1.5</v>
      </c>
      <c r="F18" s="241">
        <v>37</v>
      </c>
      <c r="G18" s="242">
        <v>0.1</v>
      </c>
      <c r="H18" s="127">
        <v>22500</v>
      </c>
      <c r="I18" s="112"/>
    </row>
    <row r="19" spans="1:9" ht="12" customHeight="1">
      <c r="A19" s="126" t="s">
        <v>113</v>
      </c>
      <c r="B19" s="174">
        <v>1.65</v>
      </c>
      <c r="C19" s="174">
        <v>2.97</v>
      </c>
      <c r="D19" s="174">
        <v>0.66</v>
      </c>
      <c r="E19" s="122">
        <f t="shared" si="0"/>
        <v>5.28</v>
      </c>
      <c r="F19" s="241">
        <v>26</v>
      </c>
      <c r="G19" s="242">
        <v>0.1</v>
      </c>
      <c r="H19" s="127"/>
      <c r="I19" s="112"/>
    </row>
    <row r="20" spans="1:9" ht="12" customHeight="1">
      <c r="A20" s="128" t="s">
        <v>114</v>
      </c>
      <c r="B20" s="176">
        <v>2.638</v>
      </c>
      <c r="C20" s="176">
        <v>2.238</v>
      </c>
      <c r="D20" s="176">
        <v>6.258</v>
      </c>
      <c r="E20" s="122">
        <f t="shared" si="0"/>
        <v>11.134</v>
      </c>
      <c r="F20" s="243">
        <v>24</v>
      </c>
      <c r="G20" s="242">
        <v>0.1</v>
      </c>
      <c r="H20" s="167"/>
      <c r="I20" s="112"/>
    </row>
    <row r="21" spans="1:9" s="163" customFormat="1" ht="12" customHeight="1">
      <c r="A21" s="130" t="s">
        <v>12</v>
      </c>
      <c r="B21" s="131">
        <f>SUM(B9:B20)</f>
        <v>15.960999999999999</v>
      </c>
      <c r="C21" s="131">
        <f>SUM(C9:C20)</f>
        <v>30.240999999999996</v>
      </c>
      <c r="D21" s="131">
        <f>SUM(D9:D20)</f>
        <v>28.148</v>
      </c>
      <c r="E21" s="131">
        <f>SUM(E9:E20)</f>
        <v>74.35000000000001</v>
      </c>
      <c r="F21" s="188"/>
      <c r="G21" s="244"/>
      <c r="H21" s="168"/>
      <c r="I21" s="132"/>
    </row>
    <row r="22" spans="1:9" s="164" customFormat="1" ht="12" customHeight="1">
      <c r="A22" s="133"/>
      <c r="B22" s="134"/>
      <c r="C22" s="134"/>
      <c r="D22" s="134"/>
      <c r="E22" s="165"/>
      <c r="F22" s="245"/>
      <c r="G22" s="135"/>
      <c r="H22" s="135"/>
      <c r="I22" s="136"/>
    </row>
    <row r="23" spans="1:9" ht="12" customHeight="1">
      <c r="A23" s="137" t="s">
        <v>88</v>
      </c>
      <c r="B23" s="138"/>
      <c r="C23" s="138"/>
      <c r="D23" s="138"/>
      <c r="E23" s="138"/>
      <c r="F23" s="246"/>
      <c r="G23" s="138"/>
      <c r="H23" s="169"/>
      <c r="I23" s="112"/>
    </row>
    <row r="24" spans="1:9" ht="12" customHeight="1">
      <c r="A24" s="124" t="s">
        <v>110</v>
      </c>
      <c r="B24" s="129">
        <v>0</v>
      </c>
      <c r="C24" s="129">
        <v>0</v>
      </c>
      <c r="D24" s="139">
        <v>2</v>
      </c>
      <c r="E24" s="125">
        <f>SUM(B24:D24)</f>
        <v>2</v>
      </c>
      <c r="F24" s="241">
        <v>47</v>
      </c>
      <c r="G24" s="242">
        <v>0.1</v>
      </c>
      <c r="H24" s="127">
        <v>21942</v>
      </c>
      <c r="I24" s="112"/>
    </row>
    <row r="25" spans="1:9" ht="12" customHeight="1">
      <c r="A25" s="128" t="s">
        <v>183</v>
      </c>
      <c r="B25" s="129">
        <v>1.51</v>
      </c>
      <c r="C25" s="129">
        <v>1.28</v>
      </c>
      <c r="D25" s="139">
        <v>0.83</v>
      </c>
      <c r="E25" s="125">
        <f>SUM(B25:D25)</f>
        <v>3.62</v>
      </c>
      <c r="F25" s="273">
        <v>39</v>
      </c>
      <c r="G25" s="242">
        <v>0.1</v>
      </c>
      <c r="H25" s="127">
        <v>19080</v>
      </c>
      <c r="I25" s="112"/>
    </row>
    <row r="26" spans="1:9" s="163" customFormat="1" ht="12" customHeight="1">
      <c r="A26" s="130" t="s">
        <v>12</v>
      </c>
      <c r="B26" s="131">
        <f>SUM(B24:B25)</f>
        <v>1.51</v>
      </c>
      <c r="C26" s="131">
        <f>SUM(C24:C25)</f>
        <v>1.28</v>
      </c>
      <c r="D26" s="131">
        <f>SUM(D24:D25)</f>
        <v>2.83</v>
      </c>
      <c r="E26" s="131">
        <f>SUM(E24:E25)</f>
        <v>5.62</v>
      </c>
      <c r="F26" s="188"/>
      <c r="G26" s="140"/>
      <c r="H26" s="141"/>
      <c r="I26" s="132"/>
    </row>
    <row r="27" spans="1:9" ht="12" customHeight="1">
      <c r="A27" s="142"/>
      <c r="B27" s="142"/>
      <c r="C27" s="142"/>
      <c r="D27" s="142"/>
      <c r="E27" s="166"/>
      <c r="F27" s="142"/>
      <c r="G27" s="142"/>
      <c r="H27" s="142"/>
      <c r="I27" s="112"/>
    </row>
    <row r="28" spans="1:9" s="163" customFormat="1" ht="12" customHeight="1">
      <c r="A28" s="141" t="s">
        <v>89</v>
      </c>
      <c r="B28" s="143">
        <f>+B21+B26</f>
        <v>17.471</v>
      </c>
      <c r="C28" s="143">
        <f>+C21+C26</f>
        <v>31.520999999999997</v>
      </c>
      <c r="D28" s="143">
        <f>+D21+D26</f>
        <v>30.978</v>
      </c>
      <c r="E28" s="143">
        <f>+E21+E26</f>
        <v>79.97000000000001</v>
      </c>
      <c r="F28" s="144"/>
      <c r="G28" s="144"/>
      <c r="H28" s="144"/>
      <c r="I28" s="132"/>
    </row>
    <row r="29" spans="1:9" ht="12" customHeight="1">
      <c r="A29" s="112"/>
      <c r="B29" s="144"/>
      <c r="C29" s="144"/>
      <c r="D29" s="144"/>
      <c r="E29" s="144"/>
      <c r="F29" s="144"/>
      <c r="G29" s="144"/>
      <c r="H29" s="144"/>
      <c r="I29" s="112"/>
    </row>
    <row r="30" spans="1:9" ht="12" customHeight="1">
      <c r="A30" s="112"/>
      <c r="B30" s="144"/>
      <c r="C30" s="144"/>
      <c r="D30" s="144"/>
      <c r="E30" s="144"/>
      <c r="F30" s="144"/>
      <c r="G30" s="144"/>
      <c r="H30" s="112"/>
      <c r="I30" s="112"/>
    </row>
    <row r="31" spans="1:9" ht="12" customHeight="1">
      <c r="A31" s="145" t="s">
        <v>149</v>
      </c>
      <c r="B31" s="256">
        <f>0.2297*B33</f>
        <v>0.24464428199999996</v>
      </c>
      <c r="C31" s="256">
        <f>0.2193*C33</f>
        <v>0.23356765799999998</v>
      </c>
      <c r="D31" s="256">
        <f>0.2506*D33</f>
        <v>0.26690403599999996</v>
      </c>
      <c r="E31" s="144"/>
      <c r="F31" s="144"/>
      <c r="G31" s="144"/>
      <c r="H31" s="112"/>
      <c r="I31" s="112"/>
    </row>
    <row r="32" spans="1:9" ht="12" customHeight="1">
      <c r="A32" s="145" t="s">
        <v>150</v>
      </c>
      <c r="B32" s="256">
        <f>0.0731*B33</f>
        <v>0.07785588599999999</v>
      </c>
      <c r="C32" s="256">
        <f>0.0626*C33</f>
        <v>0.066672756</v>
      </c>
      <c r="D32" s="256">
        <f>0.0731*D33</f>
        <v>0.07785588599999999</v>
      </c>
      <c r="E32" s="144"/>
      <c r="F32" s="144"/>
      <c r="G32" s="144"/>
      <c r="H32" s="112"/>
      <c r="I32" s="112"/>
    </row>
    <row r="33" spans="1:9" ht="12" customHeight="1" hidden="1">
      <c r="A33" s="112"/>
      <c r="B33" s="257">
        <v>1.06506</v>
      </c>
      <c r="C33" s="257">
        <v>1.06506</v>
      </c>
      <c r="D33" s="257">
        <v>1.06506</v>
      </c>
      <c r="E33" s="144"/>
      <c r="F33" s="144"/>
      <c r="G33" s="144"/>
      <c r="H33" s="112"/>
      <c r="I33" s="112"/>
    </row>
    <row r="35" ht="12" customHeight="1">
      <c r="A35" s="163"/>
    </row>
  </sheetData>
  <mergeCells count="2">
    <mergeCell ref="A3:H3"/>
    <mergeCell ref="G1:H1"/>
  </mergeCells>
  <printOptions/>
  <pageMargins left="0.39" right="0.75" top="0.8267716535433072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38.00390625" style="0" customWidth="1"/>
    <col min="2" max="2" width="12.125" style="0" customWidth="1"/>
    <col min="3" max="3" width="12.625" style="0" customWidth="1"/>
    <col min="4" max="4" width="9.375" style="0" hidden="1" customWidth="1"/>
    <col min="5" max="5" width="10.375" style="0" customWidth="1"/>
    <col min="6" max="6" width="10.00390625" style="0" hidden="1" customWidth="1"/>
    <col min="7" max="7" width="12.125" style="0" customWidth="1"/>
    <col min="8" max="8" width="13.375" style="0" customWidth="1"/>
    <col min="9" max="9" width="12.75390625" style="0" hidden="1" customWidth="1"/>
    <col min="10" max="10" width="13.625" style="0" hidden="1" customWidth="1"/>
    <col min="11" max="11" width="14.25390625" style="0" hidden="1" customWidth="1"/>
    <col min="12" max="12" width="13.625" style="0" hidden="1" customWidth="1"/>
    <col min="13" max="13" width="12.375" style="0" hidden="1" customWidth="1"/>
    <col min="14" max="14" width="11.375" style="0" hidden="1" customWidth="1"/>
    <col min="15" max="15" width="11.75390625" style="0" hidden="1" customWidth="1"/>
    <col min="16" max="17" width="11.875" style="0" hidden="1" customWidth="1"/>
    <col min="18" max="18" width="12.375" style="0" hidden="1" customWidth="1"/>
    <col min="19" max="19" width="15.00390625" style="0" hidden="1" customWidth="1"/>
    <col min="20" max="20" width="11.25390625" style="0" hidden="1" customWidth="1"/>
    <col min="21" max="22" width="14.875" style="0" customWidth="1"/>
    <col min="23" max="23" width="12.00390625" style="0" customWidth="1"/>
  </cols>
  <sheetData>
    <row r="1" ht="15.75">
      <c r="V1" s="299" t="s">
        <v>176</v>
      </c>
    </row>
    <row r="2" spans="1:20" ht="30.75" customHeight="1">
      <c r="A2" s="13" t="s">
        <v>166</v>
      </c>
      <c r="B2" s="38"/>
      <c r="C2" s="49"/>
      <c r="D2" s="38"/>
      <c r="E2" s="27"/>
      <c r="F2" s="27"/>
      <c r="G2" s="27"/>
      <c r="H2" s="38"/>
      <c r="I2" s="38"/>
      <c r="J2" s="38"/>
      <c r="K2" s="38"/>
      <c r="L2" s="38"/>
      <c r="M2" s="15"/>
      <c r="N2" s="15"/>
      <c r="O2" s="15"/>
      <c r="P2" s="15"/>
      <c r="Q2" s="15"/>
      <c r="R2" s="38"/>
      <c r="S2" s="15"/>
      <c r="T2" s="25"/>
    </row>
    <row r="3" spans="1:20" ht="12.75">
      <c r="A3" s="13" t="s">
        <v>167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5"/>
      <c r="M3" s="52"/>
      <c r="N3" s="52"/>
      <c r="O3" s="52"/>
      <c r="P3" s="52"/>
      <c r="Q3" s="52"/>
      <c r="R3" s="52"/>
      <c r="S3" s="52"/>
      <c r="T3" s="73"/>
    </row>
    <row r="4" spans="1:20" ht="12.75">
      <c r="A4" s="53"/>
      <c r="B4" s="54"/>
      <c r="C4" s="27"/>
      <c r="D4" s="15"/>
      <c r="E4" s="27"/>
      <c r="F4" s="27"/>
      <c r="G4" s="27"/>
      <c r="H4" s="38"/>
      <c r="I4" s="38"/>
      <c r="J4" s="38"/>
      <c r="K4" s="38"/>
      <c r="L4" s="38"/>
      <c r="M4" s="15"/>
      <c r="N4" s="15"/>
      <c r="O4" s="15"/>
      <c r="P4" s="15"/>
      <c r="Q4" s="15"/>
      <c r="R4" s="38"/>
      <c r="S4" s="15"/>
      <c r="T4" s="25"/>
    </row>
    <row r="5" spans="1:2" ht="12.75">
      <c r="A5" s="227"/>
      <c r="B5" s="47"/>
    </row>
    <row r="6" spans="1:24" s="17" customFormat="1" ht="11.25">
      <c r="A6" s="16" t="s">
        <v>143</v>
      </c>
      <c r="B6" s="39" t="s">
        <v>22</v>
      </c>
      <c r="C6" s="28" t="s">
        <v>23</v>
      </c>
      <c r="D6" s="16" t="s">
        <v>24</v>
      </c>
      <c r="E6" s="28" t="s">
        <v>24</v>
      </c>
      <c r="F6" s="28" t="s">
        <v>24</v>
      </c>
      <c r="G6" s="28" t="s">
        <v>25</v>
      </c>
      <c r="H6" s="28" t="s">
        <v>26</v>
      </c>
      <c r="I6" s="39" t="s">
        <v>27</v>
      </c>
      <c r="J6" s="39" t="s">
        <v>28</v>
      </c>
      <c r="K6" s="39" t="s">
        <v>28</v>
      </c>
      <c r="L6" s="39" t="s">
        <v>28</v>
      </c>
      <c r="M6" s="39" t="s">
        <v>29</v>
      </c>
      <c r="N6" s="16" t="s">
        <v>30</v>
      </c>
      <c r="O6" s="16" t="s">
        <v>164</v>
      </c>
      <c r="P6" s="16" t="s">
        <v>31</v>
      </c>
      <c r="Q6" s="16" t="s">
        <v>32</v>
      </c>
      <c r="R6" s="16" t="s">
        <v>33</v>
      </c>
      <c r="S6" s="16" t="s">
        <v>34</v>
      </c>
      <c r="T6" s="16" t="s">
        <v>35</v>
      </c>
      <c r="U6" s="39" t="s">
        <v>146</v>
      </c>
      <c r="V6" s="39" t="s">
        <v>146</v>
      </c>
      <c r="W6" s="39" t="s">
        <v>146</v>
      </c>
      <c r="X6" s="74"/>
    </row>
    <row r="7" spans="1:24" s="17" customFormat="1" ht="11.25">
      <c r="A7" s="18" t="s">
        <v>37</v>
      </c>
      <c r="B7" s="40"/>
      <c r="C7" s="29" t="s">
        <v>38</v>
      </c>
      <c r="D7" s="18" t="s">
        <v>39</v>
      </c>
      <c r="E7" s="29" t="s">
        <v>40</v>
      </c>
      <c r="F7" s="29" t="s">
        <v>41</v>
      </c>
      <c r="G7" s="29" t="s">
        <v>42</v>
      </c>
      <c r="H7" s="29"/>
      <c r="I7" s="40" t="s">
        <v>29</v>
      </c>
      <c r="J7" s="40" t="s">
        <v>43</v>
      </c>
      <c r="K7" s="40" t="s">
        <v>44</v>
      </c>
      <c r="L7" s="40" t="s">
        <v>43</v>
      </c>
      <c r="M7" s="40" t="s">
        <v>45</v>
      </c>
      <c r="N7" s="18" t="s">
        <v>46</v>
      </c>
      <c r="O7" s="18"/>
      <c r="P7" s="18"/>
      <c r="Q7" s="18"/>
      <c r="R7" s="18"/>
      <c r="S7" s="18"/>
      <c r="T7" s="18"/>
      <c r="U7" s="40" t="s">
        <v>47</v>
      </c>
      <c r="V7" s="40"/>
      <c r="W7" s="40" t="s">
        <v>47</v>
      </c>
      <c r="X7" s="74"/>
    </row>
    <row r="8" spans="1:24" s="17" customFormat="1" ht="22.5">
      <c r="A8" s="57" t="s">
        <v>151</v>
      </c>
      <c r="B8" s="41" t="s">
        <v>145</v>
      </c>
      <c r="C8" s="41" t="s">
        <v>145</v>
      </c>
      <c r="D8" s="19"/>
      <c r="E8" s="30"/>
      <c r="F8" s="30"/>
      <c r="G8" s="30"/>
      <c r="H8" s="30"/>
      <c r="I8" s="41"/>
      <c r="J8" s="41" t="s">
        <v>49</v>
      </c>
      <c r="K8" s="41" t="s">
        <v>50</v>
      </c>
      <c r="L8" s="41" t="s">
        <v>51</v>
      </c>
      <c r="M8" s="41"/>
      <c r="N8" s="19"/>
      <c r="O8" s="19"/>
      <c r="P8" s="19" t="s">
        <v>52</v>
      </c>
      <c r="Q8" s="19"/>
      <c r="R8" s="19" t="s">
        <v>53</v>
      </c>
      <c r="S8" s="19" t="s">
        <v>54</v>
      </c>
      <c r="T8" s="19" t="s">
        <v>54</v>
      </c>
      <c r="U8" s="230" t="s">
        <v>152</v>
      </c>
      <c r="V8" s="155" t="s">
        <v>169</v>
      </c>
      <c r="W8" s="230" t="s">
        <v>152</v>
      </c>
      <c r="X8" s="74"/>
    </row>
    <row r="9" spans="1:24" s="17" customFormat="1" ht="11.25">
      <c r="A9" s="20"/>
      <c r="B9" s="42" t="s">
        <v>55</v>
      </c>
      <c r="C9" s="31" t="s">
        <v>56</v>
      </c>
      <c r="D9" s="59"/>
      <c r="E9" s="59" t="s">
        <v>58</v>
      </c>
      <c r="F9" s="31"/>
      <c r="G9" s="60" t="s">
        <v>60</v>
      </c>
      <c r="H9" s="60" t="s">
        <v>61</v>
      </c>
      <c r="I9" s="42"/>
      <c r="J9" s="42"/>
      <c r="K9" s="42"/>
      <c r="L9" s="42"/>
      <c r="M9" s="42" t="s">
        <v>155</v>
      </c>
      <c r="N9" s="20" t="s">
        <v>156</v>
      </c>
      <c r="O9" s="20" t="s">
        <v>157</v>
      </c>
      <c r="P9" s="20" t="s">
        <v>62</v>
      </c>
      <c r="Q9" s="20" t="s">
        <v>63</v>
      </c>
      <c r="R9" s="20" t="s">
        <v>64</v>
      </c>
      <c r="S9" s="20" t="s">
        <v>65</v>
      </c>
      <c r="T9" s="20">
        <v>18</v>
      </c>
      <c r="U9" s="61">
        <v>8</v>
      </c>
      <c r="V9" s="42" t="s">
        <v>171</v>
      </c>
      <c r="W9" s="62">
        <v>9</v>
      </c>
      <c r="X9" s="75"/>
    </row>
    <row r="10" spans="1:24" s="15" customFormat="1" ht="14.25" customHeight="1">
      <c r="A10" s="63" t="s">
        <v>153</v>
      </c>
      <c r="B10" s="44">
        <v>5475</v>
      </c>
      <c r="C10" s="33">
        <v>10</v>
      </c>
      <c r="D10" s="33">
        <f>D$12*100</f>
        <v>6.4399999999999995</v>
      </c>
      <c r="E10" s="33">
        <f>E$12*100</f>
        <v>12.04</v>
      </c>
      <c r="F10" s="33">
        <f>$F$12*100</f>
        <v>2</v>
      </c>
      <c r="G10" s="66">
        <f>14.1*G12</f>
        <v>15.017345999999998</v>
      </c>
      <c r="H10" s="66">
        <f>2.66*H12</f>
        <v>2.8330596</v>
      </c>
      <c r="I10" s="44">
        <f>D16</f>
        <v>118966</v>
      </c>
      <c r="J10" s="44">
        <f>+I10*D10/100</f>
        <v>7661.410399999999</v>
      </c>
      <c r="K10" s="44">
        <f>+I10*E10/100</f>
        <v>14323.506399999998</v>
      </c>
      <c r="L10" s="44">
        <f>+I10*F10/100</f>
        <v>2379.32</v>
      </c>
      <c r="M10" s="44">
        <f>+L10+K10+J10+I10</f>
        <v>143330.2368</v>
      </c>
      <c r="N10" s="22">
        <f>ROUND(B10*G10,0)</f>
        <v>82220</v>
      </c>
      <c r="O10" s="265">
        <f>0.0129*B10</f>
        <v>70.6275</v>
      </c>
      <c r="P10" s="22">
        <f>N10+O10</f>
        <v>82290.6275</v>
      </c>
      <c r="Q10" s="22">
        <f>ROUND(B10*H10*Q$12/100,0)</f>
        <v>15511</v>
      </c>
      <c r="R10" s="22">
        <f>ROUND(M10*R$12,0)</f>
        <v>23076</v>
      </c>
      <c r="S10" s="22">
        <f>ROUND(C10*S$12,0)</f>
        <v>10334</v>
      </c>
      <c r="T10" s="22">
        <f>ROUND(C10*T$12,0)</f>
        <v>3895</v>
      </c>
      <c r="U10" s="44">
        <f>M10+P10+Q10+R10+S10+T10</f>
        <v>278436.8643</v>
      </c>
      <c r="V10" s="44">
        <f>+U10*0.975</f>
        <v>271475.9426925</v>
      </c>
      <c r="W10" s="33">
        <f>ROUND((+V10)/B10,2)</f>
        <v>49.58</v>
      </c>
      <c r="X10" s="37"/>
    </row>
    <row r="11" spans="1:24" s="15" customFormat="1" ht="11.25">
      <c r="A11" s="222" t="s">
        <v>154</v>
      </c>
      <c r="B11" s="224"/>
      <c r="C11" s="37"/>
      <c r="D11" s="37"/>
      <c r="E11" s="37"/>
      <c r="F11" s="37"/>
      <c r="G11" s="37"/>
      <c r="H11" s="37"/>
      <c r="I11" s="224"/>
      <c r="J11" s="224"/>
      <c r="K11" s="224"/>
      <c r="L11" s="224"/>
      <c r="M11" s="224"/>
      <c r="N11" s="226"/>
      <c r="O11" s="225"/>
      <c r="P11" s="226"/>
      <c r="Q11" s="226"/>
      <c r="R11" s="226"/>
      <c r="S11" s="226"/>
      <c r="T11" s="226"/>
      <c r="U11" s="224"/>
      <c r="V11" s="224"/>
      <c r="W11" s="37"/>
      <c r="X11" s="37"/>
    </row>
    <row r="12" spans="2:24" s="15" customFormat="1" ht="11.25" hidden="1">
      <c r="B12" s="45"/>
      <c r="C12" s="34"/>
      <c r="D12" s="250">
        <v>0.0644</v>
      </c>
      <c r="E12" s="250">
        <v>0.1204</v>
      </c>
      <c r="F12" s="251">
        <v>0.02</v>
      </c>
      <c r="G12" s="221">
        <v>1.06506</v>
      </c>
      <c r="H12" s="264">
        <v>1.06506</v>
      </c>
      <c r="I12" s="77"/>
      <c r="J12" s="45"/>
      <c r="K12" s="45"/>
      <c r="L12" s="45"/>
      <c r="M12" s="45"/>
      <c r="N12" s="228"/>
      <c r="O12" s="23">
        <v>100</v>
      </c>
      <c r="P12" s="23"/>
      <c r="Q12" s="23">
        <v>100</v>
      </c>
      <c r="R12" s="89">
        <v>0.161</v>
      </c>
      <c r="S12" s="247">
        <v>1033.37</v>
      </c>
      <c r="T12" s="248">
        <v>389.5</v>
      </c>
      <c r="U12" s="69"/>
      <c r="V12" s="69"/>
      <c r="W12" s="229"/>
      <c r="X12" s="76"/>
    </row>
    <row r="13" spans="1:24" s="15" customFormat="1" ht="11.25" hidden="1">
      <c r="A13" s="258"/>
      <c r="B13" s="259" t="s">
        <v>163</v>
      </c>
      <c r="C13" s="260" t="s">
        <v>162</v>
      </c>
      <c r="D13" s="258"/>
      <c r="E13" s="27"/>
      <c r="F13" s="27"/>
      <c r="G13" s="249"/>
      <c r="H13" s="71"/>
      <c r="I13" s="46"/>
      <c r="J13" s="46"/>
      <c r="K13" s="46"/>
      <c r="L13" s="46"/>
      <c r="M13" s="45"/>
      <c r="Q13" s="24"/>
      <c r="U13" s="38"/>
      <c r="V13" s="38"/>
      <c r="X13" s="25"/>
    </row>
    <row r="14" spans="1:4" ht="12.75" hidden="1">
      <c r="A14" s="261" t="s">
        <v>160</v>
      </c>
      <c r="B14" s="261">
        <v>33</v>
      </c>
      <c r="C14" s="262">
        <v>18429</v>
      </c>
      <c r="D14" s="262">
        <f>3*C14</f>
        <v>55287</v>
      </c>
    </row>
    <row r="15" spans="1:4" ht="12.75" hidden="1">
      <c r="A15" s="261" t="s">
        <v>161</v>
      </c>
      <c r="B15" s="261">
        <v>15</v>
      </c>
      <c r="C15" s="262">
        <v>9097</v>
      </c>
      <c r="D15" s="262">
        <f>7*C15</f>
        <v>63679</v>
      </c>
    </row>
    <row r="16" spans="1:4" ht="12.75" hidden="1">
      <c r="A16" s="261"/>
      <c r="B16" s="261"/>
      <c r="C16" s="262"/>
      <c r="D16" s="263">
        <f>SUM(D14:D15)</f>
        <v>118966</v>
      </c>
    </row>
    <row r="17" ht="12.75" hidden="1">
      <c r="C17" s="200"/>
    </row>
    <row r="18" ht="12.75">
      <c r="C18" s="200"/>
    </row>
    <row r="19" ht="12.75">
      <c r="C19" s="200"/>
    </row>
  </sheetData>
  <printOptions/>
  <pageMargins left="0.28" right="0.75" top="1" bottom="1" header="0" footer="0"/>
  <pageSetup horizontalDpi="600" verticalDpi="600" orientation="landscape" paperSize="9" scale="10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showGridLines="0" tabSelected="1" zoomScaleSheetLayoutView="75" workbookViewId="0" topLeftCell="A1">
      <pane xSplit="1" topLeftCell="C1" activePane="topRight" state="frozen"/>
      <selection pane="topLeft" activeCell="A4" sqref="A4"/>
      <selection pane="topRight" activeCell="A3" sqref="A3"/>
    </sheetView>
  </sheetViews>
  <sheetFormatPr defaultColWidth="9.00390625" defaultRowHeight="12.75"/>
  <cols>
    <col min="1" max="1" width="33.75390625" style="0" customWidth="1"/>
    <col min="2" max="2" width="10.625" style="0" customWidth="1"/>
    <col min="3" max="3" width="10.875" style="0" customWidth="1"/>
    <col min="4" max="4" width="9.375" style="0" hidden="1" customWidth="1"/>
    <col min="5" max="5" width="0" style="0" hidden="1" customWidth="1"/>
    <col min="6" max="6" width="10.25390625" style="0" customWidth="1"/>
    <col min="7" max="7" width="9.25390625" style="0" customWidth="1"/>
    <col min="8" max="8" width="10.00390625" style="0" customWidth="1"/>
    <col min="9" max="9" width="11.375" style="0" customWidth="1"/>
    <col min="10" max="10" width="11.875" style="0" customWidth="1"/>
    <col min="11" max="11" width="10.00390625" style="0" customWidth="1"/>
    <col min="12" max="12" width="12.875" style="0" customWidth="1"/>
    <col min="13" max="13" width="11.75390625" style="0" hidden="1" customWidth="1"/>
    <col min="14" max="14" width="12.75390625" style="0" hidden="1" customWidth="1"/>
    <col min="15" max="15" width="14.25390625" style="0" hidden="1" customWidth="1"/>
    <col min="16" max="16" width="12.125" style="0" hidden="1" customWidth="1"/>
    <col min="17" max="17" width="13.25390625" style="0" hidden="1" customWidth="1"/>
    <col min="18" max="18" width="12.00390625" style="0" hidden="1" customWidth="1"/>
    <col min="19" max="19" width="11.75390625" style="0" hidden="1" customWidth="1"/>
    <col min="20" max="20" width="12.125" style="0" hidden="1" customWidth="1"/>
    <col min="21" max="21" width="11.875" style="0" hidden="1" customWidth="1"/>
    <col min="22" max="22" width="12.375" style="0" hidden="1" customWidth="1"/>
    <col min="23" max="24" width="18.00390625" style="0" customWidth="1"/>
    <col min="25" max="25" width="17.875" style="0" customWidth="1"/>
    <col min="26" max="26" width="10.125" style="0" bestFit="1" customWidth="1"/>
  </cols>
  <sheetData>
    <row r="1" ht="15.75">
      <c r="Y1" s="299" t="s">
        <v>177</v>
      </c>
    </row>
    <row r="2" spans="1:25" ht="12.75">
      <c r="A2" s="13" t="s">
        <v>185</v>
      </c>
      <c r="B2" s="38"/>
      <c r="C2" s="49"/>
      <c r="D2" s="50"/>
      <c r="E2" s="36"/>
      <c r="F2" s="38"/>
      <c r="G2" s="27"/>
      <c r="H2" s="27"/>
      <c r="I2" s="51"/>
      <c r="J2" s="27"/>
      <c r="K2" s="27"/>
      <c r="L2" s="38"/>
      <c r="M2" s="38"/>
      <c r="N2" s="38"/>
      <c r="O2" s="38"/>
      <c r="P2" s="38"/>
      <c r="Q2" s="38"/>
      <c r="R2" s="15"/>
      <c r="S2" s="15"/>
      <c r="T2" s="15"/>
      <c r="U2" s="15"/>
      <c r="V2" s="15"/>
      <c r="W2" s="38"/>
      <c r="X2" s="38"/>
      <c r="Y2" s="15"/>
    </row>
    <row r="3" spans="1:25" ht="33.75" customHeight="1">
      <c r="A3" s="48" t="s">
        <v>108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5"/>
      <c r="Q3" s="52"/>
      <c r="R3" s="52"/>
      <c r="S3" s="52"/>
      <c r="T3" s="52"/>
      <c r="U3" s="52"/>
      <c r="V3" s="52"/>
      <c r="W3" s="52"/>
      <c r="X3" s="52"/>
      <c r="Y3" s="52"/>
    </row>
    <row r="4" spans="1:25" ht="12.75">
      <c r="A4" s="16" t="s">
        <v>143</v>
      </c>
      <c r="B4" s="39" t="s">
        <v>22</v>
      </c>
      <c r="C4" s="28" t="s">
        <v>23</v>
      </c>
      <c r="D4" s="55"/>
      <c r="E4" s="16"/>
      <c r="F4" s="16" t="s">
        <v>24</v>
      </c>
      <c r="G4" s="28" t="s">
        <v>24</v>
      </c>
      <c r="H4" s="28" t="s">
        <v>24</v>
      </c>
      <c r="I4" s="28" t="s">
        <v>128</v>
      </c>
      <c r="J4" s="28" t="s">
        <v>25</v>
      </c>
      <c r="K4" s="28" t="s">
        <v>26</v>
      </c>
      <c r="L4" s="39" t="s">
        <v>27</v>
      </c>
      <c r="M4" s="39" t="s">
        <v>28</v>
      </c>
      <c r="N4" s="39" t="s">
        <v>28</v>
      </c>
      <c r="O4" s="39" t="s">
        <v>28</v>
      </c>
      <c r="P4" s="39" t="s">
        <v>29</v>
      </c>
      <c r="Q4" s="16" t="s">
        <v>127</v>
      </c>
      <c r="R4" s="16" t="s">
        <v>30</v>
      </c>
      <c r="S4" s="16" t="s">
        <v>32</v>
      </c>
      <c r="T4" s="16" t="s">
        <v>33</v>
      </c>
      <c r="U4" s="16" t="s">
        <v>34</v>
      </c>
      <c r="V4" s="16" t="s">
        <v>90</v>
      </c>
      <c r="W4" s="39" t="s">
        <v>146</v>
      </c>
      <c r="X4" s="39" t="s">
        <v>146</v>
      </c>
      <c r="Y4" s="16" t="s">
        <v>36</v>
      </c>
    </row>
    <row r="5" spans="1:25" ht="12.75">
      <c r="A5" s="18" t="s">
        <v>37</v>
      </c>
      <c r="B5" s="40"/>
      <c r="C5" s="29" t="s">
        <v>38</v>
      </c>
      <c r="D5" s="56"/>
      <c r="E5" s="41"/>
      <c r="F5" s="18" t="s">
        <v>39</v>
      </c>
      <c r="G5" s="29" t="s">
        <v>40</v>
      </c>
      <c r="H5" s="29" t="s">
        <v>41</v>
      </c>
      <c r="I5" s="29" t="s">
        <v>42</v>
      </c>
      <c r="J5" s="29" t="s">
        <v>42</v>
      </c>
      <c r="K5" s="29"/>
      <c r="L5" s="40" t="s">
        <v>29</v>
      </c>
      <c r="M5" s="40" t="s">
        <v>43</v>
      </c>
      <c r="N5" s="40" t="s">
        <v>44</v>
      </c>
      <c r="O5" s="40" t="s">
        <v>43</v>
      </c>
      <c r="P5" s="40" t="s">
        <v>45</v>
      </c>
      <c r="Q5" s="40"/>
      <c r="R5" s="18" t="s">
        <v>46</v>
      </c>
      <c r="S5" s="18"/>
      <c r="T5" s="18"/>
      <c r="U5" s="18"/>
      <c r="V5" s="18"/>
      <c r="W5" s="40" t="s">
        <v>47</v>
      </c>
      <c r="X5" s="40"/>
      <c r="Y5" s="18" t="s">
        <v>48</v>
      </c>
    </row>
    <row r="6" spans="1:25" ht="12.75">
      <c r="A6" s="57" t="s">
        <v>151</v>
      </c>
      <c r="B6" s="41" t="s">
        <v>145</v>
      </c>
      <c r="C6" s="41" t="s">
        <v>145</v>
      </c>
      <c r="D6" s="58"/>
      <c r="E6" s="19"/>
      <c r="F6" s="19"/>
      <c r="G6" s="30"/>
      <c r="H6" s="30"/>
      <c r="I6" s="30"/>
      <c r="J6" s="30"/>
      <c r="K6" s="30"/>
      <c r="L6" s="41"/>
      <c r="M6" s="41" t="s">
        <v>49</v>
      </c>
      <c r="N6" s="41" t="s">
        <v>50</v>
      </c>
      <c r="O6" s="41" t="s">
        <v>51</v>
      </c>
      <c r="P6" s="41"/>
      <c r="Q6" s="41"/>
      <c r="R6" s="19"/>
      <c r="S6" s="19"/>
      <c r="T6" s="19" t="s">
        <v>53</v>
      </c>
      <c r="U6" s="19" t="s">
        <v>54</v>
      </c>
      <c r="V6" s="19" t="s">
        <v>54</v>
      </c>
      <c r="W6" s="41" t="s">
        <v>165</v>
      </c>
      <c r="X6" s="155" t="s">
        <v>169</v>
      </c>
      <c r="Y6" s="41" t="s">
        <v>165</v>
      </c>
    </row>
    <row r="7" spans="1:25" ht="12.75">
      <c r="A7" s="81" t="s">
        <v>91</v>
      </c>
      <c r="B7" s="42" t="s">
        <v>55</v>
      </c>
      <c r="C7" s="31" t="s">
        <v>56</v>
      </c>
      <c r="D7" s="59"/>
      <c r="E7" s="59"/>
      <c r="F7" s="184">
        <v>3</v>
      </c>
      <c r="G7" s="59" t="s">
        <v>58</v>
      </c>
      <c r="H7" s="184">
        <v>5</v>
      </c>
      <c r="I7" s="184">
        <v>6</v>
      </c>
      <c r="J7" s="184">
        <v>7</v>
      </c>
      <c r="K7" s="185">
        <v>8</v>
      </c>
      <c r="L7" s="42">
        <v>9</v>
      </c>
      <c r="M7" s="42"/>
      <c r="N7" s="42"/>
      <c r="O7" s="42"/>
      <c r="P7" s="42"/>
      <c r="Q7" s="42"/>
      <c r="R7" s="20"/>
      <c r="S7" s="20"/>
      <c r="T7" s="20"/>
      <c r="U7" s="20"/>
      <c r="V7" s="20"/>
      <c r="W7" s="61">
        <v>10</v>
      </c>
      <c r="X7" s="42" t="s">
        <v>172</v>
      </c>
      <c r="Y7" s="62">
        <v>11</v>
      </c>
    </row>
    <row r="8" spans="1:25" ht="12.75">
      <c r="A8" s="99" t="s">
        <v>106</v>
      </c>
      <c r="B8" s="147">
        <f>+B11+B14</f>
        <v>7854</v>
      </c>
      <c r="C8" s="146">
        <f>+C11+C14</f>
        <v>7.2031</v>
      </c>
      <c r="D8" s="85"/>
      <c r="E8" s="83"/>
      <c r="F8" s="86">
        <v>6.44</v>
      </c>
      <c r="G8" s="87">
        <v>14</v>
      </c>
      <c r="H8" s="86">
        <v>2</v>
      </c>
      <c r="I8" s="268">
        <f>0.0121*$I$17</f>
        <v>0.012887225999999998</v>
      </c>
      <c r="J8" s="86">
        <f>3.40143091255314*I17</f>
        <v>3.622728007723847</v>
      </c>
      <c r="K8" s="86">
        <f>0.7517664*I17</f>
        <v>0.8006763219839999</v>
      </c>
      <c r="L8" s="147">
        <f>+L11+L14</f>
        <v>116590.02110638298</v>
      </c>
      <c r="M8" s="147">
        <f>+M11+M14</f>
        <v>7508.397359251064</v>
      </c>
      <c r="N8" s="147">
        <f>+N11+N14</f>
        <v>16322.60295489362</v>
      </c>
      <c r="O8" s="147">
        <f>+O11+O14</f>
        <v>2331.8004221276597</v>
      </c>
      <c r="P8" s="147">
        <f>+P11+P14</f>
        <v>142752.82184265534</v>
      </c>
      <c r="Q8" s="82">
        <f>+B8*I8</f>
        <v>101.21627300399999</v>
      </c>
      <c r="R8" s="93">
        <f>+J8*B8</f>
        <v>28452.905772663093</v>
      </c>
      <c r="S8" s="93">
        <f>+K8*B8</f>
        <v>6288.511832862335</v>
      </c>
      <c r="T8" s="93">
        <f>+P8*$T$17</f>
        <v>22983.20431666751</v>
      </c>
      <c r="U8" s="93">
        <f>+C8*$U$17</f>
        <v>7443.467446999999</v>
      </c>
      <c r="V8" s="93">
        <f>+C8*$V$17</f>
        <v>2805.60745</v>
      </c>
      <c r="W8" s="82">
        <f>+P8+Q8+R8+S8+T8+U8+V8</f>
        <v>210827.7349348523</v>
      </c>
      <c r="X8" s="82">
        <f>+W8*0.975</f>
        <v>205557.041561481</v>
      </c>
      <c r="Y8" s="86">
        <f>+X8/B8</f>
        <v>26.172274199322764</v>
      </c>
    </row>
    <row r="9" spans="1:25" ht="15.75" customHeight="1">
      <c r="A9" s="275"/>
      <c r="B9" s="82"/>
      <c r="C9" s="83"/>
      <c r="D9" s="84"/>
      <c r="E9" s="83"/>
      <c r="F9" s="83"/>
      <c r="G9" s="88"/>
      <c r="H9" s="83"/>
      <c r="I9" s="267"/>
      <c r="J9" s="83"/>
      <c r="K9" s="83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</row>
    <row r="10" spans="1:25" ht="15" customHeight="1" hidden="1">
      <c r="A10" s="81" t="s">
        <v>92</v>
      </c>
      <c r="B10" s="82">
        <v>10707</v>
      </c>
      <c r="C10" s="83">
        <v>6.32</v>
      </c>
      <c r="D10" s="84"/>
      <c r="E10" s="94"/>
      <c r="F10" s="83">
        <v>9.75</v>
      </c>
      <c r="G10" s="88">
        <v>18.3</v>
      </c>
      <c r="H10" s="92">
        <v>2</v>
      </c>
      <c r="I10" s="266"/>
      <c r="J10" s="83">
        <v>767.0741158562413</v>
      </c>
      <c r="K10" s="83">
        <v>168.32972306149995</v>
      </c>
      <c r="L10" s="82">
        <v>12293964.933120001</v>
      </c>
      <c r="M10" s="82">
        <v>1198661.5809792</v>
      </c>
      <c r="N10" s="82">
        <v>2249795.5827609603</v>
      </c>
      <c r="O10" s="82">
        <v>422149.1743096288</v>
      </c>
      <c r="P10" s="82">
        <v>21529607.889791064</v>
      </c>
      <c r="Q10" s="82">
        <v>21529607.889791064</v>
      </c>
      <c r="R10" s="93">
        <v>8213063</v>
      </c>
      <c r="S10" s="93">
        <v>1802306</v>
      </c>
      <c r="T10" s="93">
        <v>4951810</v>
      </c>
      <c r="U10" s="93">
        <v>1389648</v>
      </c>
      <c r="V10" s="93">
        <v>569957</v>
      </c>
      <c r="W10" s="82">
        <v>37886434.889791064</v>
      </c>
      <c r="X10" s="82"/>
      <c r="Y10" s="83">
        <v>3538.47</v>
      </c>
    </row>
    <row r="11" spans="1:25" ht="15" customHeight="1">
      <c r="A11" s="192" t="s">
        <v>93</v>
      </c>
      <c r="B11" s="101">
        <v>5607</v>
      </c>
      <c r="C11" s="102">
        <v>5.141</v>
      </c>
      <c r="D11" s="102"/>
      <c r="E11" s="189"/>
      <c r="F11" s="103">
        <v>6.44</v>
      </c>
      <c r="G11" s="104">
        <v>14</v>
      </c>
      <c r="H11" s="103">
        <v>2</v>
      </c>
      <c r="I11" s="193">
        <f aca="true" t="shared" si="0" ref="I11:I16">0.0121*$I$17</f>
        <v>0.012887225999999998</v>
      </c>
      <c r="J11" s="103">
        <f>3.4873608*I17</f>
        <v>3.7142484936479994</v>
      </c>
      <c r="K11" s="103">
        <f>0.7622076*I17</f>
        <v>0.8117968264559999</v>
      </c>
      <c r="L11" s="190">
        <f>L24</f>
        <v>87713.77310638299</v>
      </c>
      <c r="M11" s="190">
        <f aca="true" t="shared" si="1" ref="M11:M16">+L11*$F$17</f>
        <v>5648.766988051064</v>
      </c>
      <c r="N11" s="190">
        <f aca="true" t="shared" si="2" ref="N11:N16">+L11*$G$17</f>
        <v>12279.92823489362</v>
      </c>
      <c r="O11" s="190">
        <f aca="true" t="shared" si="3" ref="O11:O16">+L11*$H$17</f>
        <v>1754.2754621276597</v>
      </c>
      <c r="P11" s="101">
        <f aca="true" t="shared" si="4" ref="P11:P16">+L11+M11+N11+O11</f>
        <v>107396.74379145533</v>
      </c>
      <c r="Q11" s="101">
        <f aca="true" t="shared" si="5" ref="Q11:Q16">+B11*I11</f>
        <v>72.25867618199999</v>
      </c>
      <c r="R11" s="191">
        <f aca="true" t="shared" si="6" ref="R11:R16">+J11*B11</f>
        <v>20825.791303884333</v>
      </c>
      <c r="S11" s="191">
        <f aca="true" t="shared" si="7" ref="S11:S16">+K11*B11</f>
        <v>4551.744805938792</v>
      </c>
      <c r="T11" s="191">
        <f aca="true" t="shared" si="8" ref="T11:T16">+P11*$T$17</f>
        <v>17290.875750424308</v>
      </c>
      <c r="U11" s="191">
        <f aca="true" t="shared" si="9" ref="U11:U16">+C11*$U$17</f>
        <v>5312.55517</v>
      </c>
      <c r="V11" s="191">
        <f>+C11*$V$17</f>
        <v>2002.4195</v>
      </c>
      <c r="W11" s="101">
        <f aca="true" t="shared" si="10" ref="W11:W16">+P11+Q11+R11+S11+T11+U11+V11</f>
        <v>157452.38899788476</v>
      </c>
      <c r="X11" s="101">
        <f aca="true" t="shared" si="11" ref="X11:X16">+W11*0.975</f>
        <v>153516.07927293764</v>
      </c>
      <c r="Y11" s="103">
        <f aca="true" t="shared" si="12" ref="Y11:Y16">+X11/B11</f>
        <v>27.379361382724746</v>
      </c>
    </row>
    <row r="12" spans="1:25" ht="12.75" hidden="1">
      <c r="A12" s="192" t="s">
        <v>94</v>
      </c>
      <c r="B12" s="101">
        <v>1700</v>
      </c>
      <c r="C12" s="102">
        <v>1.175</v>
      </c>
      <c r="D12" s="102"/>
      <c r="E12" s="189"/>
      <c r="F12" s="103">
        <v>6.44</v>
      </c>
      <c r="G12" s="104">
        <v>12</v>
      </c>
      <c r="H12" s="103">
        <v>2</v>
      </c>
      <c r="I12" s="193">
        <f t="shared" si="0"/>
        <v>0.012887225999999998</v>
      </c>
      <c r="J12" s="103">
        <v>3.419052939409114</v>
      </c>
      <c r="K12" s="103">
        <v>0.7334197946920381</v>
      </c>
      <c r="L12" s="190">
        <f>L28</f>
        <v>16454.7</v>
      </c>
      <c r="M12" s="190">
        <f t="shared" si="1"/>
        <v>1059.6826800000001</v>
      </c>
      <c r="N12" s="190">
        <f t="shared" si="2"/>
        <v>2303.6580000000004</v>
      </c>
      <c r="O12" s="190">
        <f t="shared" si="3"/>
        <v>329.094</v>
      </c>
      <c r="P12" s="101">
        <f t="shared" si="4"/>
        <v>20147.134680000003</v>
      </c>
      <c r="Q12" s="101">
        <f t="shared" si="5"/>
        <v>21.908284199999997</v>
      </c>
      <c r="R12" s="191">
        <f t="shared" si="6"/>
        <v>5812.389996995494</v>
      </c>
      <c r="S12" s="191">
        <f t="shared" si="7"/>
        <v>1246.8136509764647</v>
      </c>
      <c r="T12" s="191">
        <f t="shared" si="8"/>
        <v>3243.6886834800007</v>
      </c>
      <c r="U12" s="191">
        <f t="shared" si="9"/>
        <v>1214.20975</v>
      </c>
      <c r="V12" s="191" t="e">
        <f>+C12*#REF!</f>
        <v>#REF!</v>
      </c>
      <c r="W12" s="101" t="e">
        <f t="shared" si="10"/>
        <v>#REF!</v>
      </c>
      <c r="X12" s="101" t="e">
        <f t="shared" si="11"/>
        <v>#REF!</v>
      </c>
      <c r="Y12" s="103" t="e">
        <f t="shared" si="12"/>
        <v>#REF!</v>
      </c>
    </row>
    <row r="13" spans="1:25" ht="12.75" hidden="1">
      <c r="A13" s="192" t="s">
        <v>95</v>
      </c>
      <c r="B13" s="101">
        <v>789</v>
      </c>
      <c r="C13" s="102">
        <v>0.8871</v>
      </c>
      <c r="D13" s="102"/>
      <c r="E13" s="189"/>
      <c r="F13" s="103">
        <v>6.44</v>
      </c>
      <c r="G13" s="104">
        <v>12</v>
      </c>
      <c r="H13" s="103">
        <v>2</v>
      </c>
      <c r="I13" s="193">
        <f t="shared" si="0"/>
        <v>0.012887225999999998</v>
      </c>
      <c r="J13" s="103">
        <v>1.709526469704557</v>
      </c>
      <c r="K13" s="103">
        <v>0.36668811216825237</v>
      </c>
      <c r="L13" s="190">
        <f>L26</f>
        <v>12421.548</v>
      </c>
      <c r="M13" s="190">
        <f t="shared" si="1"/>
        <v>799.9476912</v>
      </c>
      <c r="N13" s="190">
        <f t="shared" si="2"/>
        <v>1739.0167200000003</v>
      </c>
      <c r="O13" s="190">
        <f t="shared" si="3"/>
        <v>248.43096000000003</v>
      </c>
      <c r="P13" s="101">
        <f t="shared" si="4"/>
        <v>15208.943371200001</v>
      </c>
      <c r="Q13" s="101">
        <f t="shared" si="5"/>
        <v>10.168021313999999</v>
      </c>
      <c r="R13" s="191">
        <f t="shared" si="6"/>
        <v>1348.8163845968954</v>
      </c>
      <c r="S13" s="191">
        <f t="shared" si="7"/>
        <v>289.3169205007511</v>
      </c>
      <c r="T13" s="191">
        <f t="shared" si="8"/>
        <v>2448.6398827632</v>
      </c>
      <c r="U13" s="191">
        <f t="shared" si="9"/>
        <v>916.7025269999999</v>
      </c>
      <c r="V13" s="191" t="e">
        <f>+C13*#REF!</f>
        <v>#REF!</v>
      </c>
      <c r="W13" s="101" t="e">
        <f t="shared" si="10"/>
        <v>#REF!</v>
      </c>
      <c r="X13" s="101" t="e">
        <f t="shared" si="11"/>
        <v>#REF!</v>
      </c>
      <c r="Y13" s="103" t="e">
        <f t="shared" si="12"/>
        <v>#REF!</v>
      </c>
    </row>
    <row r="14" spans="1:25" ht="16.5" customHeight="1">
      <c r="A14" s="192" t="s">
        <v>96</v>
      </c>
      <c r="B14" s="101">
        <v>2247</v>
      </c>
      <c r="C14" s="102">
        <v>2.0621</v>
      </c>
      <c r="D14" s="102"/>
      <c r="E14" s="189"/>
      <c r="F14" s="103">
        <v>6.44</v>
      </c>
      <c r="G14" s="104">
        <v>14</v>
      </c>
      <c r="H14" s="103">
        <v>2</v>
      </c>
      <c r="I14" s="193">
        <f t="shared" si="0"/>
        <v>0.012887225999999998</v>
      </c>
      <c r="J14" s="103">
        <f>2.9339772*I17</f>
        <v>3.124861756632</v>
      </c>
      <c r="K14" s="103">
        <f>0.631029459188783*I17</f>
        <v>0.6720842358036051</v>
      </c>
      <c r="L14" s="190">
        <f>+L12+L13</f>
        <v>28876.248</v>
      </c>
      <c r="M14" s="190">
        <f t="shared" si="1"/>
        <v>1859.6303712</v>
      </c>
      <c r="N14" s="190">
        <f t="shared" si="2"/>
        <v>4042.6747200000004</v>
      </c>
      <c r="O14" s="190">
        <f t="shared" si="3"/>
        <v>577.52496</v>
      </c>
      <c r="P14" s="101">
        <f t="shared" si="4"/>
        <v>35356.078051200006</v>
      </c>
      <c r="Q14" s="101">
        <f t="shared" si="5"/>
        <v>28.957596821999996</v>
      </c>
      <c r="R14" s="191">
        <f t="shared" si="6"/>
        <v>7021.564367152104</v>
      </c>
      <c r="S14" s="191">
        <f t="shared" si="7"/>
        <v>1510.1732778507007</v>
      </c>
      <c r="T14" s="191">
        <f t="shared" si="8"/>
        <v>5692.328566243201</v>
      </c>
      <c r="U14" s="191">
        <f t="shared" si="9"/>
        <v>2130.912277</v>
      </c>
      <c r="V14" s="191">
        <f>+C14*$V$17</f>
        <v>803.18795</v>
      </c>
      <c r="W14" s="101">
        <f t="shared" si="10"/>
        <v>52543.202086268015</v>
      </c>
      <c r="X14" s="101">
        <f t="shared" si="11"/>
        <v>51229.622034111315</v>
      </c>
      <c r="Y14" s="103">
        <f t="shared" si="12"/>
        <v>22.799119730356615</v>
      </c>
    </row>
    <row r="15" spans="1:25" ht="15" customHeight="1">
      <c r="A15" s="100" t="s">
        <v>107</v>
      </c>
      <c r="B15" s="101">
        <v>2702.1516894736474</v>
      </c>
      <c r="C15" s="102">
        <v>2.478</v>
      </c>
      <c r="D15" s="102"/>
      <c r="E15" s="189"/>
      <c r="F15" s="103">
        <v>6.44</v>
      </c>
      <c r="G15" s="104">
        <v>14</v>
      </c>
      <c r="H15" s="103">
        <v>2</v>
      </c>
      <c r="I15" s="193">
        <f t="shared" si="0"/>
        <v>0.012887225999999998</v>
      </c>
      <c r="J15" s="103">
        <f>J11</f>
        <v>3.7142484936479994</v>
      </c>
      <c r="K15" s="103">
        <f>0.75*I17</f>
        <v>0.7987949999999999</v>
      </c>
      <c r="L15" s="194">
        <f>+E24*C15</f>
        <v>42278.68697872341</v>
      </c>
      <c r="M15" s="190">
        <f t="shared" si="1"/>
        <v>2722.7474414297876</v>
      </c>
      <c r="N15" s="190">
        <f t="shared" si="2"/>
        <v>5919.016177021278</v>
      </c>
      <c r="O15" s="190">
        <f t="shared" si="3"/>
        <v>845.5737395744682</v>
      </c>
      <c r="P15" s="101">
        <f t="shared" si="4"/>
        <v>51766.024336748946</v>
      </c>
      <c r="Q15" s="101">
        <f t="shared" si="5"/>
        <v>34.82323950852871</v>
      </c>
      <c r="R15" s="191">
        <f t="shared" si="6"/>
        <v>10036.462842235891</v>
      </c>
      <c r="S15" s="191">
        <f t="shared" si="7"/>
        <v>2158.465258793102</v>
      </c>
      <c r="T15" s="191">
        <f t="shared" si="8"/>
        <v>8334.329918216581</v>
      </c>
      <c r="U15" s="191">
        <f t="shared" si="9"/>
        <v>2560.69086</v>
      </c>
      <c r="V15" s="191">
        <f>+C15*$V$17</f>
        <v>965.181</v>
      </c>
      <c r="W15" s="101">
        <f t="shared" si="10"/>
        <v>75855.97745550305</v>
      </c>
      <c r="X15" s="101">
        <f t="shared" si="11"/>
        <v>73959.57801911546</v>
      </c>
      <c r="Y15" s="103">
        <f t="shared" si="12"/>
        <v>27.370624050170203</v>
      </c>
    </row>
    <row r="16" spans="1:25" ht="15" customHeight="1">
      <c r="A16" s="100" t="s">
        <v>133</v>
      </c>
      <c r="B16" s="101">
        <v>3750</v>
      </c>
      <c r="C16" s="102">
        <v>3.4383</v>
      </c>
      <c r="D16" s="102"/>
      <c r="E16" s="189"/>
      <c r="F16" s="103">
        <v>6.44</v>
      </c>
      <c r="G16" s="104">
        <v>14</v>
      </c>
      <c r="H16" s="103">
        <v>2</v>
      </c>
      <c r="I16" s="193">
        <f t="shared" si="0"/>
        <v>0.012887225999999998</v>
      </c>
      <c r="J16" s="103">
        <f>J11</f>
        <v>3.7142484936479994</v>
      </c>
      <c r="K16" s="103">
        <f>0.75*I17</f>
        <v>0.7987949999999999</v>
      </c>
      <c r="L16" s="194">
        <f>+E24*C16</f>
        <v>58662.957804255326</v>
      </c>
      <c r="M16" s="190">
        <f t="shared" si="1"/>
        <v>3777.894482594043</v>
      </c>
      <c r="N16" s="190">
        <f t="shared" si="2"/>
        <v>8212.814092595747</v>
      </c>
      <c r="O16" s="190">
        <f t="shared" si="3"/>
        <v>1173.2591560851065</v>
      </c>
      <c r="P16" s="101">
        <f t="shared" si="4"/>
        <v>71826.92553553022</v>
      </c>
      <c r="Q16" s="101">
        <f t="shared" si="5"/>
        <v>48.327097499999994</v>
      </c>
      <c r="R16" s="191">
        <f t="shared" si="6"/>
        <v>13928.431851179997</v>
      </c>
      <c r="S16" s="191">
        <f t="shared" si="7"/>
        <v>2995.48125</v>
      </c>
      <c r="T16" s="191">
        <f t="shared" si="8"/>
        <v>11564.135011220365</v>
      </c>
      <c r="U16" s="191">
        <f t="shared" si="9"/>
        <v>3553.0360709999995</v>
      </c>
      <c r="V16" s="191">
        <f>+C16*$V$17</f>
        <v>1339.21785</v>
      </c>
      <c r="W16" s="101">
        <f t="shared" si="10"/>
        <v>105255.55466643057</v>
      </c>
      <c r="X16" s="101">
        <f t="shared" si="11"/>
        <v>102624.1657997698</v>
      </c>
      <c r="Y16" s="103">
        <f t="shared" si="12"/>
        <v>27.366444213271947</v>
      </c>
    </row>
    <row r="17" spans="1:26" ht="12.75" hidden="1">
      <c r="A17" s="15"/>
      <c r="B17" s="45"/>
      <c r="C17" s="34"/>
      <c r="D17" s="67"/>
      <c r="E17" s="68"/>
      <c r="F17" s="195">
        <v>0.0644</v>
      </c>
      <c r="G17" s="195">
        <v>0.14</v>
      </c>
      <c r="H17" s="195">
        <v>0.02</v>
      </c>
      <c r="I17" s="196">
        <v>1.06506</v>
      </c>
      <c r="J17" s="72"/>
      <c r="K17" s="72"/>
      <c r="L17" s="72"/>
      <c r="M17" s="45"/>
      <c r="N17" s="45"/>
      <c r="O17" s="45"/>
      <c r="P17" s="45"/>
      <c r="Q17" s="221">
        <v>1.06506</v>
      </c>
      <c r="R17" s="23"/>
      <c r="S17" s="23"/>
      <c r="T17" s="197">
        <v>0.161</v>
      </c>
      <c r="U17" s="198">
        <v>1033.37</v>
      </c>
      <c r="V17" s="198">
        <v>389.5</v>
      </c>
      <c r="W17" s="69"/>
      <c r="X17" s="276"/>
      <c r="Y17" s="277"/>
      <c r="Z17" s="278"/>
    </row>
    <row r="18" spans="1:10" ht="12.75" hidden="1">
      <c r="A18" s="199"/>
      <c r="B18" s="199"/>
      <c r="C18" s="199"/>
      <c r="D18" s="199"/>
      <c r="E18" s="199"/>
      <c r="J18" s="200"/>
    </row>
    <row r="19" spans="1:27" s="17" customFormat="1" ht="33.75" hidden="1">
      <c r="A19" s="16" t="s">
        <v>120</v>
      </c>
      <c r="B19" s="39" t="s">
        <v>22</v>
      </c>
      <c r="C19" s="28" t="s">
        <v>23</v>
      </c>
      <c r="D19" s="179" t="s">
        <v>123</v>
      </c>
      <c r="E19" s="181" t="s">
        <v>125</v>
      </c>
      <c r="F19" s="182" t="s">
        <v>24</v>
      </c>
      <c r="G19" s="177" t="s">
        <v>24</v>
      </c>
      <c r="H19" s="28" t="s">
        <v>24</v>
      </c>
      <c r="I19" s="28" t="s">
        <v>25</v>
      </c>
      <c r="J19" s="28" t="s">
        <v>128</v>
      </c>
      <c r="K19" s="28" t="s">
        <v>26</v>
      </c>
      <c r="L19" s="39" t="s">
        <v>27</v>
      </c>
      <c r="M19" s="39" t="s">
        <v>28</v>
      </c>
      <c r="N19" s="39" t="s">
        <v>28</v>
      </c>
      <c r="O19" s="39" t="s">
        <v>28</v>
      </c>
      <c r="P19" s="39" t="s">
        <v>29</v>
      </c>
      <c r="Q19" s="16" t="s">
        <v>30</v>
      </c>
      <c r="R19" s="16" t="s">
        <v>127</v>
      </c>
      <c r="S19" s="16" t="s">
        <v>31</v>
      </c>
      <c r="T19" s="16" t="s">
        <v>32</v>
      </c>
      <c r="U19" s="16" t="s">
        <v>33</v>
      </c>
      <c r="V19" s="16" t="s">
        <v>34</v>
      </c>
      <c r="W19" s="16" t="s">
        <v>35</v>
      </c>
      <c r="X19" s="16"/>
      <c r="Y19" s="153" t="s">
        <v>119</v>
      </c>
      <c r="Z19" s="16" t="s">
        <v>36</v>
      </c>
      <c r="AA19" s="74"/>
    </row>
    <row r="20" spans="1:27" s="17" customFormat="1" ht="11.25" hidden="1">
      <c r="A20" s="18" t="s">
        <v>37</v>
      </c>
      <c r="B20" s="40"/>
      <c r="C20" s="29" t="s">
        <v>38</v>
      </c>
      <c r="D20" s="180" t="s">
        <v>124</v>
      </c>
      <c r="E20" s="180" t="s">
        <v>126</v>
      </c>
      <c r="F20" s="183" t="s">
        <v>39</v>
      </c>
      <c r="G20" s="178" t="s">
        <v>40</v>
      </c>
      <c r="H20" s="29" t="s">
        <v>41</v>
      </c>
      <c r="I20" s="29" t="s">
        <v>42</v>
      </c>
      <c r="J20" s="29" t="s">
        <v>42</v>
      </c>
      <c r="K20" s="29"/>
      <c r="L20" s="40" t="s">
        <v>29</v>
      </c>
      <c r="M20" s="40" t="s">
        <v>43</v>
      </c>
      <c r="N20" s="40" t="s">
        <v>44</v>
      </c>
      <c r="O20" s="40" t="s">
        <v>43</v>
      </c>
      <c r="P20" s="40" t="s">
        <v>45</v>
      </c>
      <c r="Q20" s="18" t="s">
        <v>46</v>
      </c>
      <c r="R20" s="18"/>
      <c r="S20" s="18"/>
      <c r="T20" s="18"/>
      <c r="U20" s="18"/>
      <c r="V20" s="18"/>
      <c r="W20" s="18"/>
      <c r="X20" s="18"/>
      <c r="Y20" s="154" t="s">
        <v>47</v>
      </c>
      <c r="Z20" s="18" t="s">
        <v>48</v>
      </c>
      <c r="AA20" s="74"/>
    </row>
    <row r="21" spans="1:27" s="17" customFormat="1" ht="22.5" hidden="1">
      <c r="A21" s="57" t="s">
        <v>129</v>
      </c>
      <c r="B21" s="41" t="s">
        <v>118</v>
      </c>
      <c r="C21" s="41" t="s">
        <v>118</v>
      </c>
      <c r="D21" s="58"/>
      <c r="E21" s="58"/>
      <c r="F21" s="19"/>
      <c r="G21" s="30"/>
      <c r="H21" s="30"/>
      <c r="I21" s="30"/>
      <c r="J21" s="30"/>
      <c r="K21" s="30"/>
      <c r="L21" s="41"/>
      <c r="M21" s="41" t="s">
        <v>49</v>
      </c>
      <c r="N21" s="41" t="s">
        <v>50</v>
      </c>
      <c r="O21" s="41" t="s">
        <v>51</v>
      </c>
      <c r="P21" s="41"/>
      <c r="Q21" s="19"/>
      <c r="R21" s="19"/>
      <c r="S21" s="19" t="s">
        <v>52</v>
      </c>
      <c r="T21" s="19"/>
      <c r="U21" s="19" t="s">
        <v>53</v>
      </c>
      <c r="V21" s="19" t="s">
        <v>54</v>
      </c>
      <c r="W21" s="19" t="s">
        <v>54</v>
      </c>
      <c r="X21" s="19"/>
      <c r="Y21" s="155" t="s">
        <v>130</v>
      </c>
      <c r="Z21" s="155" t="s">
        <v>130</v>
      </c>
      <c r="AA21" s="74"/>
    </row>
    <row r="22" spans="1:27" s="17" customFormat="1" ht="11.25" hidden="1">
      <c r="A22" s="20"/>
      <c r="B22" s="42" t="s">
        <v>55</v>
      </c>
      <c r="C22" s="31" t="s">
        <v>56</v>
      </c>
      <c r="D22" s="59" t="s">
        <v>57</v>
      </c>
      <c r="E22" s="59" t="s">
        <v>58</v>
      </c>
      <c r="F22" s="59" t="s">
        <v>59</v>
      </c>
      <c r="G22" s="59" t="s">
        <v>60</v>
      </c>
      <c r="H22" s="59" t="s">
        <v>61</v>
      </c>
      <c r="I22" s="60" t="s">
        <v>60</v>
      </c>
      <c r="J22" s="60"/>
      <c r="K22" s="60" t="s">
        <v>61</v>
      </c>
      <c r="L22" s="42">
        <v>8</v>
      </c>
      <c r="M22" s="184">
        <v>9</v>
      </c>
      <c r="N22" s="185">
        <v>10</v>
      </c>
      <c r="O22" s="185">
        <v>11</v>
      </c>
      <c r="P22" s="42">
        <v>12</v>
      </c>
      <c r="Q22" s="20">
        <v>13</v>
      </c>
      <c r="R22" s="20"/>
      <c r="S22" s="20" t="s">
        <v>62</v>
      </c>
      <c r="T22" s="20" t="s">
        <v>63</v>
      </c>
      <c r="U22" s="20" t="s">
        <v>64</v>
      </c>
      <c r="V22" s="20" t="s">
        <v>65</v>
      </c>
      <c r="W22" s="20">
        <v>18</v>
      </c>
      <c r="X22" s="20"/>
      <c r="Y22" s="20">
        <v>19</v>
      </c>
      <c r="Z22" s="20">
        <v>20</v>
      </c>
      <c r="AA22" s="75"/>
    </row>
    <row r="23" spans="1:28" s="15" customFormat="1" ht="11.25" hidden="1">
      <c r="A23" s="281"/>
      <c r="B23" s="284"/>
      <c r="C23" s="288"/>
      <c r="D23" s="286"/>
      <c r="E23" s="289"/>
      <c r="F23" s="288"/>
      <c r="G23" s="288"/>
      <c r="H23" s="288"/>
      <c r="I23" s="288"/>
      <c r="J23" s="288"/>
      <c r="K23" s="288"/>
      <c r="L23" s="284"/>
      <c r="M23" s="279"/>
      <c r="N23" s="43"/>
      <c r="O23" s="43"/>
      <c r="P23" s="43"/>
      <c r="Q23" s="21"/>
      <c r="R23" s="21"/>
      <c r="S23" s="21"/>
      <c r="T23" s="21"/>
      <c r="U23" s="21"/>
      <c r="V23" s="291"/>
      <c r="W23" s="293"/>
      <c r="X23" s="293"/>
      <c r="Y23" s="295"/>
      <c r="Z23" s="296"/>
      <c r="AA23" s="37"/>
      <c r="AB23" s="186"/>
    </row>
    <row r="24" spans="1:27" s="211" customFormat="1" ht="18" customHeight="1" hidden="1">
      <c r="A24" s="201" t="s">
        <v>134</v>
      </c>
      <c r="B24" s="202">
        <v>5559</v>
      </c>
      <c r="C24" s="203">
        <v>5.141</v>
      </c>
      <c r="D24" s="287"/>
      <c r="E24" s="290">
        <f>I38</f>
        <v>17061.617021276597</v>
      </c>
      <c r="F24" s="204">
        <v>6.44</v>
      </c>
      <c r="G24" s="205">
        <v>12</v>
      </c>
      <c r="H24" s="203">
        <v>2</v>
      </c>
      <c r="I24" s="203">
        <v>3.49</v>
      </c>
      <c r="J24" s="203">
        <v>0.0121</v>
      </c>
      <c r="K24" s="203">
        <v>0.76</v>
      </c>
      <c r="L24" s="206">
        <f>+C24*E24</f>
        <v>87713.77310638299</v>
      </c>
      <c r="M24" s="280">
        <f>+L24*F24/100</f>
        <v>5648.766988051065</v>
      </c>
      <c r="N24" s="202">
        <f>+L24*G24/100</f>
        <v>10525.652772765958</v>
      </c>
      <c r="O24" s="202">
        <f>+L24*H24/100</f>
        <v>1754.2754621276597</v>
      </c>
      <c r="P24" s="202">
        <f>SUM(L24:O24)</f>
        <v>105642.46832932766</v>
      </c>
      <c r="Q24" s="207">
        <f>B24*I24</f>
        <v>19400.91</v>
      </c>
      <c r="R24" s="207">
        <f>+B24*J24</f>
        <v>67.26389999999999</v>
      </c>
      <c r="S24" s="207">
        <f>Q24+R24</f>
        <v>19468.1739</v>
      </c>
      <c r="T24" s="207">
        <f>B24*K24</f>
        <v>4224.84</v>
      </c>
      <c r="U24" s="207">
        <f>ROUND(P24*$U$25,0)</f>
        <v>20273</v>
      </c>
      <c r="V24" s="292">
        <f>ROUND(C24*$V$25,0)</f>
        <v>5138</v>
      </c>
      <c r="W24" s="207">
        <f>ROUND(C24*$W$25,0)</f>
        <v>2002</v>
      </c>
      <c r="X24" s="207"/>
      <c r="Y24" s="208">
        <f>P24+S24+T24+U24+V24+W24</f>
        <v>156748.48222932767</v>
      </c>
      <c r="Z24" s="209">
        <f>ROUND((+Y24)/B24,5)</f>
        <v>28.19724</v>
      </c>
      <c r="AA24" s="210"/>
    </row>
    <row r="25" spans="1:26" ht="12.75" hidden="1">
      <c r="A25" s="275"/>
      <c r="B25" s="275"/>
      <c r="C25" s="285"/>
      <c r="D25" s="212"/>
      <c r="E25" s="199"/>
      <c r="F25" s="275"/>
      <c r="G25" s="275"/>
      <c r="H25" s="275"/>
      <c r="I25" s="275"/>
      <c r="J25" s="275"/>
      <c r="K25" s="275"/>
      <c r="L25" s="275"/>
      <c r="U25" s="52">
        <v>0.1919</v>
      </c>
      <c r="V25" s="52">
        <v>999.39</v>
      </c>
      <c r="W25" s="294">
        <v>389.5</v>
      </c>
      <c r="X25" s="294"/>
      <c r="Y25" s="275"/>
      <c r="Z25" s="275"/>
    </row>
    <row r="26" spans="1:26" ht="12.75" hidden="1">
      <c r="A26" s="81" t="s">
        <v>95</v>
      </c>
      <c r="B26" s="202">
        <v>789</v>
      </c>
      <c r="C26" s="203">
        <v>0.887</v>
      </c>
      <c r="D26" s="287"/>
      <c r="E26" s="290">
        <f>G36</f>
        <v>14004</v>
      </c>
      <c r="F26" s="204">
        <v>6.44</v>
      </c>
      <c r="G26" s="205">
        <v>12</v>
      </c>
      <c r="H26" s="203">
        <v>2</v>
      </c>
      <c r="I26" s="203">
        <v>1.71</v>
      </c>
      <c r="J26" s="203">
        <v>0.0121</v>
      </c>
      <c r="K26" s="203">
        <v>0.37</v>
      </c>
      <c r="L26" s="206">
        <f>+C26*E26</f>
        <v>12421.548</v>
      </c>
      <c r="M26" s="280">
        <f>+L26*F26/100</f>
        <v>799.9476912000001</v>
      </c>
      <c r="N26" s="202">
        <f>+L26*G26/100</f>
        <v>1490.58576</v>
      </c>
      <c r="O26" s="202">
        <f>+L26*H26/100</f>
        <v>248.43096000000003</v>
      </c>
      <c r="P26" s="202">
        <f>SUM(L26:O26)</f>
        <v>14960.512411200001</v>
      </c>
      <c r="Q26" s="207">
        <f>B26*I26</f>
        <v>1349.19</v>
      </c>
      <c r="R26" s="207">
        <f>+B26*J26</f>
        <v>9.546899999999999</v>
      </c>
      <c r="S26" s="207">
        <f>Q26+R26</f>
        <v>1358.7369</v>
      </c>
      <c r="T26" s="207">
        <f>B26*K26</f>
        <v>291.93</v>
      </c>
      <c r="U26" s="207">
        <f>ROUND(P26*$U$25,0)</f>
        <v>2871</v>
      </c>
      <c r="V26" s="292">
        <f>ROUND(C26*$V$25,0)</f>
        <v>886</v>
      </c>
      <c r="W26" s="207">
        <f>ROUND(C26*$W$25,0)</f>
        <v>345</v>
      </c>
      <c r="X26" s="207"/>
      <c r="Y26" s="208">
        <f>P26+S26+T26+U26+V26+W26</f>
        <v>20713.1793112</v>
      </c>
      <c r="Z26" s="209">
        <f>ROUND((+Y26)/B26,5)</f>
        <v>26.25245</v>
      </c>
    </row>
    <row r="27" spans="1:26" ht="12.75" hidden="1">
      <c r="A27" s="282"/>
      <c r="B27" s="285"/>
      <c r="C27" s="285"/>
      <c r="D27" s="212"/>
      <c r="E27" s="199"/>
      <c r="F27" s="275"/>
      <c r="G27" s="275"/>
      <c r="H27" s="275"/>
      <c r="I27" s="275"/>
      <c r="J27" s="275"/>
      <c r="K27" s="275"/>
      <c r="L27" s="275"/>
      <c r="W27" s="275"/>
      <c r="X27" s="275"/>
      <c r="Y27" s="275"/>
      <c r="Z27" s="275"/>
    </row>
    <row r="28" spans="1:26" ht="12.75" hidden="1">
      <c r="A28" s="81" t="s">
        <v>94</v>
      </c>
      <c r="B28" s="202">
        <v>1700</v>
      </c>
      <c r="C28" s="203">
        <v>1.175</v>
      </c>
      <c r="D28" s="287"/>
      <c r="E28" s="290">
        <f>G36</f>
        <v>14004</v>
      </c>
      <c r="F28" s="204">
        <v>6.44</v>
      </c>
      <c r="G28" s="205">
        <v>12</v>
      </c>
      <c r="H28" s="203">
        <v>2</v>
      </c>
      <c r="I28" s="203">
        <v>3.42</v>
      </c>
      <c r="J28" s="203">
        <v>0.0121</v>
      </c>
      <c r="K28" s="203">
        <v>0.73</v>
      </c>
      <c r="L28" s="206">
        <f>+C28*E28</f>
        <v>16454.7</v>
      </c>
      <c r="M28" s="280">
        <f>+L28*F28/100</f>
        <v>1059.6826800000001</v>
      </c>
      <c r="N28" s="202">
        <f>+L28*G28/100</f>
        <v>1974.5640000000003</v>
      </c>
      <c r="O28" s="202">
        <f>+L28*H28/100</f>
        <v>329.094</v>
      </c>
      <c r="P28" s="202">
        <f>SUM(L28:O28)</f>
        <v>19818.040680000002</v>
      </c>
      <c r="Q28" s="207">
        <f>B28*I28</f>
        <v>5814</v>
      </c>
      <c r="R28" s="207">
        <f>+B28*J28</f>
        <v>20.57</v>
      </c>
      <c r="S28" s="207">
        <f>Q28+R28</f>
        <v>5834.57</v>
      </c>
      <c r="T28" s="207">
        <f>B28*K28</f>
        <v>1241</v>
      </c>
      <c r="U28" s="207">
        <f>ROUND(P28*$U$25,0)</f>
        <v>3803</v>
      </c>
      <c r="V28" s="292">
        <f>ROUND(C28*$V$25,0)</f>
        <v>1174</v>
      </c>
      <c r="W28" s="207">
        <f>ROUND(C28*$W$25,0)</f>
        <v>458</v>
      </c>
      <c r="X28" s="207"/>
      <c r="Y28" s="208">
        <f>P28+S28+T28+U28+V28+W28</f>
        <v>32328.61068</v>
      </c>
      <c r="Z28" s="209">
        <f>ROUND((+Y28)/B28,5)</f>
        <v>19.01683</v>
      </c>
    </row>
    <row r="29" spans="1:26" ht="12.75" hidden="1">
      <c r="A29" s="283"/>
      <c r="B29" s="283"/>
      <c r="C29" s="283"/>
      <c r="F29" s="283"/>
      <c r="G29" s="283"/>
      <c r="H29" s="283"/>
      <c r="I29" s="283"/>
      <c r="J29" s="283"/>
      <c r="K29" s="283"/>
      <c r="L29" s="283"/>
      <c r="W29" s="283"/>
      <c r="X29" s="283"/>
      <c r="Y29" s="283"/>
      <c r="Z29" s="283"/>
    </row>
    <row r="30" ht="12.75" hidden="1"/>
    <row r="31" spans="1:5" ht="12.75" hidden="1">
      <c r="A31" s="213" t="s">
        <v>135</v>
      </c>
      <c r="B31" s="214"/>
      <c r="C31" s="214"/>
      <c r="D31" s="214"/>
      <c r="E31" s="214"/>
    </row>
    <row r="32" spans="1:5" ht="12.75" hidden="1">
      <c r="A32" s="214"/>
      <c r="B32" s="214"/>
      <c r="C32" s="214"/>
      <c r="D32" s="214"/>
      <c r="E32" s="214"/>
    </row>
    <row r="33" spans="1:8" ht="12.75" hidden="1">
      <c r="A33" s="214"/>
      <c r="B33" s="214" t="s">
        <v>136</v>
      </c>
      <c r="C33" s="214" t="s">
        <v>137</v>
      </c>
      <c r="D33" s="214" t="s">
        <v>7</v>
      </c>
      <c r="E33" s="214" t="s">
        <v>138</v>
      </c>
      <c r="F33" s="274" t="s">
        <v>139</v>
      </c>
      <c r="G33" s="297" t="s">
        <v>125</v>
      </c>
      <c r="H33" s="278"/>
    </row>
    <row r="34" spans="1:5" ht="12.75" hidden="1">
      <c r="A34" s="214"/>
      <c r="B34" s="214"/>
      <c r="C34" s="214"/>
      <c r="D34" s="214"/>
      <c r="E34" s="214"/>
    </row>
    <row r="35" spans="1:8" ht="12.75" hidden="1">
      <c r="A35" s="214" t="s">
        <v>140</v>
      </c>
      <c r="B35" s="215">
        <v>1</v>
      </c>
      <c r="C35" s="216">
        <v>3.499</v>
      </c>
      <c r="D35" s="215">
        <f>B35*C35</f>
        <v>3.499</v>
      </c>
      <c r="E35" s="217">
        <v>18603</v>
      </c>
      <c r="F35">
        <v>37</v>
      </c>
      <c r="G35">
        <v>21559</v>
      </c>
      <c r="H35" s="200">
        <f>+G35*B35</f>
        <v>21559</v>
      </c>
    </row>
    <row r="36" spans="1:8" ht="12.75" hidden="1">
      <c r="A36" s="214" t="s">
        <v>141</v>
      </c>
      <c r="B36" s="215">
        <v>1</v>
      </c>
      <c r="C36" s="216">
        <v>2.795</v>
      </c>
      <c r="D36" s="215">
        <f>B36*C36</f>
        <v>2.795</v>
      </c>
      <c r="E36" s="217">
        <v>12726</v>
      </c>
      <c r="F36">
        <v>26</v>
      </c>
      <c r="G36">
        <v>14004</v>
      </c>
      <c r="H36" s="200">
        <f>+G36*B36</f>
        <v>14004</v>
      </c>
    </row>
    <row r="37" spans="1:8" ht="12.75" hidden="1">
      <c r="A37" s="214" t="s">
        <v>142</v>
      </c>
      <c r="B37" s="215">
        <f>ROUND((B35+B36)*0.1727,2)</f>
        <v>0.35</v>
      </c>
      <c r="C37" s="216">
        <v>2.795</v>
      </c>
      <c r="D37" s="215">
        <f>B37*C37</f>
        <v>0.97825</v>
      </c>
      <c r="E37" s="217"/>
      <c r="F37">
        <v>24</v>
      </c>
      <c r="G37">
        <v>12948</v>
      </c>
      <c r="H37" s="200">
        <f>+G37*B37</f>
        <v>4531.799999999999</v>
      </c>
    </row>
    <row r="38" spans="1:9" ht="12.75" hidden="1">
      <c r="A38" s="214" t="s">
        <v>12</v>
      </c>
      <c r="B38" s="218">
        <f>ROUND(B35+B36+B37,2)</f>
        <v>2.35</v>
      </c>
      <c r="C38" s="219">
        <f>ROUND(D38/B38,3)</f>
        <v>3.095</v>
      </c>
      <c r="D38" s="218">
        <f>D35+D36+D37</f>
        <v>7.2722500000000005</v>
      </c>
      <c r="E38" s="217">
        <v>31329</v>
      </c>
      <c r="H38" s="200">
        <f>SUM(H35:H37)</f>
        <v>40094.8</v>
      </c>
      <c r="I38" s="220">
        <f>+H38/2.35</f>
        <v>17061.617021276597</v>
      </c>
    </row>
    <row r="39" ht="12.75" hidden="1"/>
  </sheetData>
  <printOptions/>
  <pageMargins left="0.39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normativ dela zdrtavstvene nege v zs</dc:title>
  <dc:subject/>
  <dc:creator>A Valued Microsoft Customer</dc:creator>
  <cp:keywords/>
  <dc:description/>
  <cp:lastModifiedBy>z01003g</cp:lastModifiedBy>
  <cp:lastPrinted>2009-03-03T09:54:23Z</cp:lastPrinted>
  <dcterms:created xsi:type="dcterms:W3CDTF">2005-07-01T06:49:33Z</dcterms:created>
  <dcterms:modified xsi:type="dcterms:W3CDTF">2009-04-03T07:01:24Z</dcterms:modified>
  <cp:category/>
  <cp:version/>
  <cp:contentType/>
  <cp:contentStatus/>
</cp:coreProperties>
</file>