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910" activeTab="0"/>
  </bookViews>
  <sheets>
    <sheet name="fn 2004TP" sheetId="1" r:id="rId1"/>
  </sheets>
  <externalReferences>
    <externalReference r:id="rId4"/>
    <externalReference r:id="rId5"/>
  </externalReferences>
  <definedNames>
    <definedName name="_xlnm.Print_Area" localSheetId="0">'fn 2004TP'!$B$3:$O$564</definedName>
    <definedName name="_xlnm.Print_Titles" localSheetId="0">'fn 2004TP'!$20:$25</definedName>
  </definedNames>
  <calcPr fullCalcOnLoad="1"/>
</workbook>
</file>

<file path=xl/comments1.xml><?xml version="1.0" encoding="utf-8"?>
<comments xmlns="http://schemas.openxmlformats.org/spreadsheetml/2006/main">
  <authors>
    <author>uporabnik Microsoft Officea</author>
  </authors>
  <commentList>
    <comment ref="M142" authorId="0">
      <text>
        <r>
          <rPr>
            <sz val="8"/>
            <rFont val="Tahoma"/>
            <family val="0"/>
          </rPr>
          <t xml:space="preserve">glej prilogo (ni Vzajemne poslovno sodelovanje)
</t>
        </r>
      </text>
    </comment>
  </commentList>
</comments>
</file>

<file path=xl/sharedStrings.xml><?xml version="1.0" encoding="utf-8"?>
<sst xmlns="http://schemas.openxmlformats.org/spreadsheetml/2006/main" count="623" uniqueCount="425">
  <si>
    <t>BILANCA ZAVODA ZA ZDRAVSTVENO ZAVAROVANJE SLOVENIJE</t>
  </si>
  <si>
    <t>PRILOGA 1</t>
  </si>
  <si>
    <t>H E A L T H   I N S U R A N C E   F U N D</t>
  </si>
  <si>
    <t>PROJECTIONS FOR YEARS 2001 TO 2004</t>
  </si>
  <si>
    <t xml:space="preserve">                                                       FINANČNI NAČRT ZA LETO 2004 </t>
  </si>
  <si>
    <t xml:space="preserve"> </t>
  </si>
  <si>
    <t>PRIKAZI PO NOVI EKONOMSKI KLASIFIKACIJI</t>
  </si>
  <si>
    <t xml:space="preserve">A.    BILANCA PRIHODKOV IN ODHODKOV </t>
  </si>
  <si>
    <t>A.    HEALTH INSURANCE FUND REVENUES AND EXPENDITURE</t>
  </si>
  <si>
    <t>PROJECTIONS</t>
  </si>
  <si>
    <t>KONTO</t>
  </si>
  <si>
    <t>2 0 0 2</t>
  </si>
  <si>
    <t>2002/</t>
  </si>
  <si>
    <t>2 0 0 3</t>
  </si>
  <si>
    <t>2003/</t>
  </si>
  <si>
    <t>2 0 0 4</t>
  </si>
  <si>
    <t>2004/</t>
  </si>
  <si>
    <t>REALIZACIJA 
2002</t>
  </si>
  <si>
    <t>FN
2003</t>
  </si>
  <si>
    <t>REAL I-VIII  + PROJEKCIJA</t>
  </si>
  <si>
    <t>NOMIN. INDEKSI
DFN2003 /2002</t>
  </si>
  <si>
    <t>REAL. INDEKSI
DFN2003/2002</t>
  </si>
  <si>
    <t>FINANČNI NAČRT</t>
  </si>
  <si>
    <t>REALNA</t>
  </si>
  <si>
    <t>NOMINAL.</t>
  </si>
  <si>
    <t>INDEKS</t>
  </si>
  <si>
    <t>RAST</t>
  </si>
  <si>
    <t>INDKESI</t>
  </si>
  <si>
    <t>3=2/1</t>
  </si>
  <si>
    <t>6=5/2</t>
  </si>
  <si>
    <t>MAKROFISKALNA IZHODIŠČA ZA OBDOBJE 2003 - 2007:</t>
  </si>
  <si>
    <t>DVIG PRISPEVNE STOPNJE</t>
  </si>
  <si>
    <t>LETNA RAST ŽIVLJENJSKIH STROŠKOV</t>
  </si>
  <si>
    <t>NOMINALNA RAST PRISPEVNE OSNOVE (MASE PLAČ)</t>
  </si>
  <si>
    <t>NOMINALNA RAST POVPREČNE PLAČE V REPUBLIKI SLOVENIJI</t>
  </si>
  <si>
    <t>REALNA RAST POVPREČNE PLAČE V REPUBLIKI SLOVENIJI</t>
  </si>
  <si>
    <t>NOMINALNA RAST OSNOVE ZA USKLAJEVANJE PLAČ V JAVNEM SEKTORJU</t>
  </si>
  <si>
    <t>REALNA RAST POVPREČNE PLAČE V ZDRAVSTVU</t>
  </si>
  <si>
    <t>RAST ZAPOSLENOSTI V SLOVENIJI</t>
  </si>
  <si>
    <t xml:space="preserve">RAST BREZPOSLENOSTI </t>
  </si>
  <si>
    <t>RAST ZAPOSLENOSTI V ZDRAVSTVU</t>
  </si>
  <si>
    <t>REALNA RAST ZASEBNE POTROŠNJE</t>
  </si>
  <si>
    <t>LETNA RAST CEN ZDRAVIL</t>
  </si>
  <si>
    <t>REALNA RAST POTROŠNJE ZDRAVIL IN MTP</t>
  </si>
  <si>
    <t>Boleznine - rast povprečne plače za preteklo leto</t>
  </si>
  <si>
    <t xml:space="preserve">REALNA RAST BOLEZNIN </t>
  </si>
  <si>
    <t>I.</t>
  </si>
  <si>
    <t xml:space="preserve">S K U P A J    P R I H O D K I  </t>
  </si>
  <si>
    <t xml:space="preserve">    -  udeležba  v  B D P v %</t>
  </si>
  <si>
    <t xml:space="preserve">   </t>
  </si>
  <si>
    <t xml:space="preserve">TEKOČI PRIHODKI </t>
  </si>
  <si>
    <t xml:space="preserve">    -  udeležba  v  B D P v %+D28+D343</t>
  </si>
  <si>
    <t xml:space="preserve">DAVČNI PRIHODKI        </t>
  </si>
  <si>
    <t>Zmanjšanje prispevkov zaradi zamenjave rasti plač avgusta 03 s premijo</t>
  </si>
  <si>
    <t>DAVKI NA DOHODEK IN DOBICEK</t>
  </si>
  <si>
    <t>Dohodnina</t>
  </si>
  <si>
    <t>Davek od dobicka pravnih oseb</t>
  </si>
  <si>
    <t xml:space="preserve">Drugi davki na dohodek in dobicek </t>
  </si>
  <si>
    <t>PRISPEVKI ZA SOCIALNO VARNOST</t>
  </si>
  <si>
    <t>Prispevki zaposlenih</t>
  </si>
  <si>
    <t>Prispevek za zdr.zav. -  od zaposlenih pri pravnih osebah</t>
  </si>
  <si>
    <t>Prispevek za zdr.zav.-  od zaposlenih pri fizicnih osebah</t>
  </si>
  <si>
    <t>Prispevek za zdr.zav. -  od zaposlenih pri tujem delodajalcu</t>
  </si>
  <si>
    <t>Prispevki delodajalcev</t>
  </si>
  <si>
    <t>Prispevek za zdr.zav. -  za zaposlene pri pravnih osebah</t>
  </si>
  <si>
    <t xml:space="preserve">Prispevek za poškodbe pri delu in poklicne bolezni </t>
  </si>
  <si>
    <t>Prispevek za zdr. zavar.za zaposlene pri fizičnih osebah</t>
  </si>
  <si>
    <t xml:space="preserve">Prispevki samozaposlenih </t>
  </si>
  <si>
    <t>Prispevek za zdr.zav. -  kmetov od katastrskega dohodka</t>
  </si>
  <si>
    <t>Prispevek za zdr.zav. -  kmetov, od osnove za pok.in inv.zav.</t>
  </si>
  <si>
    <t>Prispevek za zdr.zav.- oseb, ki plačujejo prisp. v pavšalu</t>
  </si>
  <si>
    <t>Prispevek za zdr.zav. - oseb, ki niso zavar. iz dr.nasl.</t>
  </si>
  <si>
    <t>Prispevek za poškodbe pri delu in poklicne bolezni kmetov</t>
  </si>
  <si>
    <t>Pavšalni prispevek za poškodbe pri delu in poklicne bolezni</t>
  </si>
  <si>
    <t>Prispevek za zdr.zav. - oseb, ki samost.opr.dejavn.</t>
  </si>
  <si>
    <t>Prispevek za zdr.zav. oseb, ki samost.opr.dejavn.</t>
  </si>
  <si>
    <t>Ostali prispevki za socialno varnost</t>
  </si>
  <si>
    <t>Zamudne obresti iz naslova prispevkov za zdrav.zavar.</t>
  </si>
  <si>
    <t>Pozneje placani odloženi prispevki za socialno varnost</t>
  </si>
  <si>
    <t>Pozneje plačani ukinjeni prispevki za socialno varnost</t>
  </si>
  <si>
    <t>Prisp.delojem.za zdr.zav.od nadomestil za porodniški dopust</t>
  </si>
  <si>
    <t>Prisp.delojem.za zdr.zav.od nadomestil za zaradi bolezenske</t>
  </si>
  <si>
    <t>odsotnosti, ki jih ZZZS neposredno izplačuje upravičencem</t>
  </si>
  <si>
    <t>Prisp.delojem.za zdr.zav.od nadomestil za čas brezposelnosti</t>
  </si>
  <si>
    <t>Prisp.delojem.za zdr.zav.od nadomestila za inval.</t>
  </si>
  <si>
    <t>DAVKI NA PLACILNO LISTO IN DELOVNO SILO</t>
  </si>
  <si>
    <t>Davek na izplacane place</t>
  </si>
  <si>
    <t>Posebni davek na dolocene prejemke</t>
  </si>
  <si>
    <t>DAVKI NA PREMOZENJE</t>
  </si>
  <si>
    <t>Davki na nepremicnine</t>
  </si>
  <si>
    <t>Davki na premicnine</t>
  </si>
  <si>
    <t>Davki na dedišcine in darila</t>
  </si>
  <si>
    <t>Davki na promet nepremicnin in na financno premozenje</t>
  </si>
  <si>
    <t>DOMACI DAVKI NA BLAGO IN STORITVE</t>
  </si>
  <si>
    <t>Splošni prometni davki, davki na dodano vrednost</t>
  </si>
  <si>
    <t>Drugi davki na blago in storitve</t>
  </si>
  <si>
    <t>Trošarine (akcize)</t>
  </si>
  <si>
    <t>Dobicki fiskalnih monopolov</t>
  </si>
  <si>
    <t>Davki na posebne storitve</t>
  </si>
  <si>
    <t>Dovoljenja za poslovanje in za opravljanje dejavnosti</t>
  </si>
  <si>
    <t>Pristojbine za motorna vozila</t>
  </si>
  <si>
    <t>Drugi davki na uporabo blaga ali opravljanje storitev</t>
  </si>
  <si>
    <t>DAVKI NA MEDNARODNO TRGOVINO IN TRANSAKCIJE</t>
  </si>
  <si>
    <t>Carine</t>
  </si>
  <si>
    <t>Druge uvozne dajatve</t>
  </si>
  <si>
    <t>Izvozne dajatve</t>
  </si>
  <si>
    <t>Dobicki izvoznih in uvoznih monopolov</t>
  </si>
  <si>
    <t>Dobicki od menjave tujih valut</t>
  </si>
  <si>
    <t>Davki na menjavo tujih valut</t>
  </si>
  <si>
    <t>Drugi davki na mednarodno trgovino in transakcije</t>
  </si>
  <si>
    <t>DRUGI DAVKI</t>
  </si>
  <si>
    <t>Drugi davki</t>
  </si>
  <si>
    <t>NEDAVČNI  PRIHODKI</t>
  </si>
  <si>
    <t xml:space="preserve">UDELEŽBA NA DOBIČKU IN DOHODKI OD PREMOŽENJA </t>
  </si>
  <si>
    <t>Udeležba na dobičku javnih podjetij in javnih finanč.inst.</t>
  </si>
  <si>
    <t>Prihodki od udeležbe na dobičku drugih podjetij in finanč.inst.</t>
  </si>
  <si>
    <t>Prihodki od obresti</t>
  </si>
  <si>
    <t>Prihodki od premoženja</t>
  </si>
  <si>
    <t>TAKSE IN PRISTOJBINE</t>
  </si>
  <si>
    <t>Sodne takse</t>
  </si>
  <si>
    <t>Upravne takse</t>
  </si>
  <si>
    <t xml:space="preserve">DENARNE KAZNI </t>
  </si>
  <si>
    <t>Denarne kazni</t>
  </si>
  <si>
    <t>PRIHODKI OD PRODAJE BLAGA IN STORITEV</t>
  </si>
  <si>
    <t>Prihodki od prodaje blaga in storitev</t>
  </si>
  <si>
    <t>DRUGI NEDAVČNI PRIHODKI</t>
  </si>
  <si>
    <t>Dodatni prostovoljni prispevki za socialno varnost</t>
  </si>
  <si>
    <t xml:space="preserve"> (dokup pokojninske dobe in prispevki zavar.prost.zavar.)</t>
  </si>
  <si>
    <t>Drugi nedavčni prihodki</t>
  </si>
  <si>
    <t>Prihodki zdravstvenega zavarovanja iz naslova konvencij z dr.drž.</t>
  </si>
  <si>
    <t>Prihodki zdravstvenega zavarovanja iz naslova regres. zahtev.</t>
  </si>
  <si>
    <t>Drugi izredni nedavčni prihodki</t>
  </si>
  <si>
    <t xml:space="preserve">  </t>
  </si>
  <si>
    <t xml:space="preserve">KAPITALSKI PRIHODKI </t>
  </si>
  <si>
    <t>(720+721+722)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</si>
  <si>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</si>
  <si>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</si>
  <si>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</si>
  <si>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</si>
  <si>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</si>
  <si>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ZALOG</t>
  </si>
  <si>
    <t>Prihodki od prodaje blagovnih rezerv</t>
  </si>
  <si>
    <t>Prihodki od prodaje drugih zalog</t>
  </si>
  <si>
    <t>PRIHODKI OD PRODAJE ZEMLJIŠČ IN NEMATER.PREMOŽ.</t>
  </si>
  <si>
    <t>Prihodki od prodaje kmetijskih zemljišc in gozdov</t>
  </si>
  <si>
    <t>Prihodki od prodaje stavbnih zemljišc</t>
  </si>
  <si>
    <t>Prihodki od prodaje nematerialnega premozenja</t>
  </si>
  <si>
    <t>PREJETE DONACIJE</t>
  </si>
  <si>
    <t>(730+731)</t>
  </si>
  <si>
    <t xml:space="preserve">PREJETE DONACIJE IZ DOMAČIH VIROV </t>
  </si>
  <si>
    <t>Prejete donacije iz domacih virov za tekoco porabo</t>
  </si>
  <si>
    <t>Prejete donacije iz domacih virov za investicije</t>
  </si>
  <si>
    <t>Sredstva kupnin iz naslova privatizacije podjetij</t>
  </si>
  <si>
    <t>PREJETE DONACIJE IZ TUJINE</t>
  </si>
  <si>
    <t>Prejete donacije iz tujine za tekoco porabo</t>
  </si>
  <si>
    <t>Prejete donacije iz tujine za investicije</t>
  </si>
  <si>
    <t xml:space="preserve">TRANSFERNI PRIHODKI    </t>
  </si>
  <si>
    <t>TRANSFERNI PRIHODKI IZ DRUGIH JAVNOFINANČNIH INSTITUCIJ</t>
  </si>
  <si>
    <t>Prejeta sredstva iz državnega proračuna</t>
  </si>
  <si>
    <t xml:space="preserve">Prispevek za zdravstveno zavarovanje brezposelnih oseb, </t>
  </si>
  <si>
    <t>ki ga plačuje Zavod za zaposlovanje RS</t>
  </si>
  <si>
    <t>Prispevek za zdravstveno zavarovanje oseb, za katere</t>
  </si>
  <si>
    <t>plačuje prispevek Republika Slovenija</t>
  </si>
  <si>
    <t>Prejeta sredstva iz naslova prispevka delodajalca za zdr.zavarov.</t>
  </si>
  <si>
    <t>od nadomestil za porodniški dopust</t>
  </si>
  <si>
    <t>od nadomestil za čas brezposelnosti</t>
  </si>
  <si>
    <t>Druga prejeta sredstva iz državnega proračuna</t>
  </si>
  <si>
    <t>Prisp.delod. Za pošk. Pri delu in pokl.bol. Voj. Obv.</t>
  </si>
  <si>
    <t>Prejeta sredstva iz proračunov lokalnih skupnosti</t>
  </si>
  <si>
    <t>plačuje prispevek občina</t>
  </si>
  <si>
    <t xml:space="preserve">Prejeta sredstva iz drugih skladov socialnega zavarovanja </t>
  </si>
  <si>
    <t xml:space="preserve">Prispevek za zdravstveno zavarovanje upokojencev, </t>
  </si>
  <si>
    <t>ki ga plačuje Zavod za pokojninsko in invalidsko zavarovanje</t>
  </si>
  <si>
    <t>od nadomestil zaradi bolezenske ods.,ki jih ZZZS neposred.izplačuje *</t>
  </si>
  <si>
    <t>od nadomestil iz invalidskega zavar.,ki jih ZPIZ neposred.izplačuje</t>
  </si>
  <si>
    <t>*</t>
  </si>
  <si>
    <t>Prihodki zaradi vključitve dopolnilnega zdr. zavar. v OZZ (l. 2005)</t>
  </si>
  <si>
    <t>Prejeta sredstva iz drugih javnih skladov</t>
  </si>
  <si>
    <t>III.</t>
  </si>
  <si>
    <t xml:space="preserve">S K U P A J    O D H O D K I </t>
  </si>
  <si>
    <t xml:space="preserve">TEKOČI ODHODKI </t>
  </si>
  <si>
    <t>PLAČE IN DRUGI IZDATKI ZAPOSLENIM</t>
  </si>
  <si>
    <t xml:space="preserve">Plače in dodatki </t>
  </si>
  <si>
    <t>Regres za letni dopust</t>
  </si>
  <si>
    <t>Povracila in nadomestila</t>
  </si>
  <si>
    <t>Sredstva za delovno uspešnost</t>
  </si>
  <si>
    <t>Sredstva za nadurno delo</t>
  </si>
  <si>
    <t>Place za delo po pogodbi</t>
  </si>
  <si>
    <t>Drugi izdatki zaposlenim</t>
  </si>
  <si>
    <t>4000 Plače in dodatki</t>
  </si>
  <si>
    <t>4001 Regres za letni dopust</t>
  </si>
  <si>
    <t>4002 Povračila in nadomestila</t>
  </si>
  <si>
    <t>4003 Sredstva za delovno uspešnost</t>
  </si>
  <si>
    <t>4004 Sredstva za nadurno delo</t>
  </si>
  <si>
    <t>4005 Sredstva za delo po pogodbi</t>
  </si>
  <si>
    <t>4006 Jubilejne nagrade, odpravnine</t>
  </si>
  <si>
    <t>PRISPEVKI DELODAJALCEV ZA SOCIALNO VARNOST</t>
  </si>
  <si>
    <t>Prispevki za pokojninsko in invalidsko zavarovanje</t>
  </si>
  <si>
    <t>Prispevki za zdravstveno zavarovanje</t>
  </si>
  <si>
    <t>Prispevki za zaposlovanje</t>
  </si>
  <si>
    <t>Prispevki za porodniško varstvo</t>
  </si>
  <si>
    <t>Premije za dodatno kolektivno pokojninsko zavarovanje</t>
  </si>
  <si>
    <t>IZDATKI ZA BLAGO IN STORITVE :</t>
  </si>
  <si>
    <t>v tem:</t>
  </si>
  <si>
    <t>Pisarniški in splošni material in storitve</t>
  </si>
  <si>
    <t>Posebni materiali in storitve</t>
  </si>
  <si>
    <t>Energija, voda, komunalne storitve in komunikacije</t>
  </si>
  <si>
    <t>Prevozni stroški in storitve</t>
  </si>
  <si>
    <t>Izdatki za slu bena potovanja</t>
  </si>
  <si>
    <t>Tekoce vzdrzevanje</t>
  </si>
  <si>
    <t xml:space="preserve">Najemnine in zakupnine </t>
  </si>
  <si>
    <t xml:space="preserve">Kazni in odškodnine </t>
  </si>
  <si>
    <t>Drugi operativni odhodki</t>
  </si>
  <si>
    <t>Plačila storitev APP</t>
  </si>
  <si>
    <t>Plačila bančnih storitev</t>
  </si>
  <si>
    <t>Plačila storitev DURS</t>
  </si>
  <si>
    <t xml:space="preserve">- pisarniški in splošni material in storitve od tega: </t>
  </si>
  <si>
    <t xml:space="preserve">   dodatni odhodki za pisarniški material (ZUP)</t>
  </si>
  <si>
    <t>- posebni material in storitve</t>
  </si>
  <si>
    <t>- energija, voda, komunalne storitve in komunikacije od tega:</t>
  </si>
  <si>
    <t xml:space="preserve">   dodatni odhodki za poštne storitve (ZUP)</t>
  </si>
  <si>
    <t>- prevozni stroški in storitve</t>
  </si>
  <si>
    <t>- izdatki za službena potovanja</t>
  </si>
  <si>
    <t>- tekoče vzdrževanje</t>
  </si>
  <si>
    <t>- najemnine in zakupnine (leasing)</t>
  </si>
  <si>
    <t>- kazni in odškodnine</t>
  </si>
  <si>
    <t>- davek na izplačane plače</t>
  </si>
  <si>
    <t>- drugi operativni odhodki od tega za:</t>
  </si>
  <si>
    <t xml:space="preserve">    DURS  (0,3%)</t>
  </si>
  <si>
    <t xml:space="preserve">    UJP (0,0165%)</t>
  </si>
  <si>
    <t xml:space="preserve">    UJP stroški plačilnega prometa</t>
  </si>
  <si>
    <t>PLAČILA DOMAČIH OBRESTI</t>
  </si>
  <si>
    <t>Placila obresti od kreditov Banki Slovenije</t>
  </si>
  <si>
    <t>Placila obresti od kreditov poslovnim bankam</t>
  </si>
  <si>
    <t>Placila obresti od kreditov drugim financnim institucijam</t>
  </si>
  <si>
    <t>Placila obresti od kreditov drugim domacim kreditodajalcem</t>
  </si>
  <si>
    <t>Placila obresti od vrednostnih papirjev</t>
  </si>
  <si>
    <t>PLAčILA OBRESTI V TUJINO</t>
  </si>
  <si>
    <t>Placila obresti mednarodnim financnim institucijam</t>
  </si>
  <si>
    <t xml:space="preserve">Placila obresti tujim vladam </t>
  </si>
  <si>
    <t>Placila obresti tujim poslovnim bankam in financnim institucijam</t>
  </si>
  <si>
    <t>Placila obresti drugim tujim kreditodajalcem</t>
  </si>
  <si>
    <t>DRUGE REZERVE</t>
  </si>
  <si>
    <t>SREDSTVA, IZLOČENA V REZERVE</t>
  </si>
  <si>
    <t>Tekoca proracunska rezerva</t>
  </si>
  <si>
    <t>Rezerva za naravne nesrece</t>
  </si>
  <si>
    <t>Druge rezerve</t>
  </si>
  <si>
    <t>TEKOČI TRANSFERI</t>
  </si>
  <si>
    <t>SUBVENCIJE</t>
  </si>
  <si>
    <t>Subvencije javnim podjetjem</t>
  </si>
  <si>
    <t>Subvencije financnim institucijam</t>
  </si>
  <si>
    <t>Subvencije privatnim podjetjem in zasebnikom</t>
  </si>
  <si>
    <t>TRANSFERI POSAMEZNIKOM IN GOSPODINJSTVOM</t>
  </si>
  <si>
    <t>Transferi nezaposlenim</t>
  </si>
  <si>
    <t>Transferi v varstvu otroka in druzine</t>
  </si>
  <si>
    <t>Transferi v socialnem varstvu</t>
  </si>
  <si>
    <t>Transferi vojnim invalidom, voj. veter. in zrtvam v. nas.</t>
  </si>
  <si>
    <t>Pokojnine</t>
  </si>
  <si>
    <t xml:space="preserve">Nadomestila plac </t>
  </si>
  <si>
    <t>Boleznine</t>
  </si>
  <si>
    <t>Boleznine, izplačane iz obveznega zdravstv.zavarovanja</t>
  </si>
  <si>
    <t>v tem:  - boleznine 1. Bruto</t>
  </si>
  <si>
    <t xml:space="preserve">             - prispevki delodajalca za boleznine</t>
  </si>
  <si>
    <t>Realna rast boleznin zaradi recidiva in 120 dni</t>
  </si>
  <si>
    <t>Druge boleznine</t>
  </si>
  <si>
    <t>Realna rast boleznin zaradi krvodajalskega dne</t>
  </si>
  <si>
    <t>Štipendije</t>
  </si>
  <si>
    <t>Drugi transferi posameznikom</t>
  </si>
  <si>
    <t>Plačilo dnevnic, potnih stroš. in prevoz. v zvezi z zdravljenjem</t>
  </si>
  <si>
    <t>Plačilo pogrebnin</t>
  </si>
  <si>
    <t>Plačilo posmrtnin</t>
  </si>
  <si>
    <t>Drugi transferi posameznikom in gospodinjstvom (povračila za zdravljenje)</t>
  </si>
  <si>
    <t>TRANSFERI NEPROFITNIM ORGANIZACIJAM IN USTAN.</t>
  </si>
  <si>
    <t>Tekoči transferi neprofitnim organizacijam in ustanovam od tega:</t>
  </si>
  <si>
    <t xml:space="preserve"> -  dodatna sredstva za obnovitveno rehabilitacijo</t>
  </si>
  <si>
    <t xml:space="preserve">DRUGI TEKOČI DOMAČI TRANSFERI </t>
  </si>
  <si>
    <t>Tekoci transferi drugim ravnem drzave</t>
  </si>
  <si>
    <t xml:space="preserve">Tekoci transferi v druge sklade socialnega zavarovanja </t>
  </si>
  <si>
    <t>Plačila prispevka delodajalca za pokojninsko in inval.zavarovanje</t>
  </si>
  <si>
    <t>od nadomestil zaradi bolez.odsot.,ki jih ZZZS neposredno izplačuje</t>
  </si>
  <si>
    <t>Plačila prispevka delodajalca za zdravstveno zavarovanje</t>
  </si>
  <si>
    <t xml:space="preserve">od nadomestil zaradi bolez.odsot.,ki jih ZZZS neposredno izplačuje </t>
  </si>
  <si>
    <t>Tekoci transferi v druge javne sklade in agencije</t>
  </si>
  <si>
    <t>Tekoči transferi v javne zavode in druge izvajalce javnih</t>
  </si>
  <si>
    <t>Tekoči transferi v javne zavode - zdravstvene storitve skupaj</t>
  </si>
  <si>
    <t>Tekoči transferi v javne zavode - sredstva za plače</t>
  </si>
  <si>
    <t>(kalkulativno)</t>
  </si>
  <si>
    <t>01</t>
  </si>
  <si>
    <t>Sredstva za plače - osnovno zdravstveno varstvo</t>
  </si>
  <si>
    <t>02</t>
  </si>
  <si>
    <t>Sredstva za plače - bolnišnice</t>
  </si>
  <si>
    <t>03</t>
  </si>
  <si>
    <t>Sredstva za plače - zdravilišča</t>
  </si>
  <si>
    <t>04</t>
  </si>
  <si>
    <t>Sredstva za plače - lekarne</t>
  </si>
  <si>
    <t>05</t>
  </si>
  <si>
    <t>Sredstva za plače - socialni zavodi</t>
  </si>
  <si>
    <t>Zmanšati DSO za 700 mio (sklep g.d. 23.9.2003)</t>
  </si>
  <si>
    <t>Tekoci transferi v javne zavode - sredstva za prisp.delodaj.</t>
  </si>
  <si>
    <t>Sredstva za prispevke delodajalca - osnovno zdravstveno varstvo</t>
  </si>
  <si>
    <t>Sredstva za prispevke delodajalca  - bolnišnice</t>
  </si>
  <si>
    <t>Sredstva za prispevke delodajalca - zdravilišča</t>
  </si>
  <si>
    <t>Sredstva za prispevke delodajalca - lekarne</t>
  </si>
  <si>
    <t>Sredstva za prispevke delodajalca - socialni zavodi</t>
  </si>
  <si>
    <t>Sredstva za prispevke delodajalca - bolnišnice</t>
  </si>
  <si>
    <t>Tekoci transferi v javne zavode - za blago in storitve</t>
  </si>
  <si>
    <t>l.2005</t>
  </si>
  <si>
    <t>Sredstva za izdatke za blago in storitve - osn.zdrav.varstvo</t>
  </si>
  <si>
    <t>Sredstva za izdatke za blago in storitve - bolnišnice</t>
  </si>
  <si>
    <t>Sredstva za izdatke za blago in storitve - zdravilišča</t>
  </si>
  <si>
    <t>Sredstva za izdatke za blago in storitve - lekarne</t>
  </si>
  <si>
    <t>Sredstva za izdatke za blago in storitve - socialni zavodi</t>
  </si>
  <si>
    <t>Sredstva za izdatke za blago in storitve - osnovno zdravstveno varstvo</t>
  </si>
  <si>
    <t>Sredstva za izdatke za blago in storitev - zdravilišča</t>
  </si>
  <si>
    <t>Izdatki iz naslova konvencij</t>
  </si>
  <si>
    <t>Dodatni programi skladno z  MZ 2004</t>
  </si>
  <si>
    <t>Dodatni programi skladno z  MZ 2005</t>
  </si>
  <si>
    <t>Dodatne zaposlitve v 2005 (bela kniga)</t>
  </si>
  <si>
    <t>Napredovanje razlika do polne letne vrednosti / (dod.prog v 2005)</t>
  </si>
  <si>
    <t>Osnovno</t>
  </si>
  <si>
    <t>Dodatne zaposlitve skladno z reformo (osn., boln.)</t>
  </si>
  <si>
    <t>Dodatni programi skladno z reformo  (bolnišnične, str.)</t>
  </si>
  <si>
    <t>Učinki centralnega javnega naročanja (bolnišnic, mat. ,str.)</t>
  </si>
  <si>
    <t>Prenos inkontinenčnega program iz MTP med soc. zavode</t>
  </si>
  <si>
    <t>Izdatki za zdravila</t>
  </si>
  <si>
    <t>bolnišnično</t>
  </si>
  <si>
    <t xml:space="preserve">Izdatki za medicinsko tehnične pripomočke </t>
  </si>
  <si>
    <t>Izdatki za transfuzijo krvi, cepiva in sanitetni material</t>
  </si>
  <si>
    <t>Sredstva za premije za kolektivno dodatno pokojninsko zavarovanje</t>
  </si>
  <si>
    <t>Povečanje transferov v javne zavode z vklj. dopl.zavar.v OZZ(l.2005)</t>
  </si>
  <si>
    <t>Tekoci transferi v državni proračun</t>
  </si>
  <si>
    <t>Plačila prispevka delodajalca za zaposlovanje od nadomestil</t>
  </si>
  <si>
    <t>zaradi bolez.odsot.,ki jih ZZZS neposredno izplačuje</t>
  </si>
  <si>
    <t>Plačila prispevka delodajalca za porodniško varstvo od nadomestil</t>
  </si>
  <si>
    <t>TEKOČI TRANSFERI V TUJINO</t>
  </si>
  <si>
    <t>Tekoci transferi mednarodnim institucijam</t>
  </si>
  <si>
    <t>Tekoci transferi tujim vladam in vladnim institucijam</t>
  </si>
  <si>
    <t>Tekoči transferi neprofitnim organizacijam v tujini</t>
  </si>
  <si>
    <t>Izdatki za zdravljenje v tujini</t>
  </si>
  <si>
    <t>Izdatki iz naslova konvencij z drugimi državami</t>
  </si>
  <si>
    <t>Drugi tekoči transferi v tujino</t>
  </si>
  <si>
    <t xml:space="preserve">    </t>
  </si>
  <si>
    <t xml:space="preserve">INVESTICIJSKI ODHODKI </t>
  </si>
  <si>
    <t>NAKUP IN GRADNJA OSNOVNIH SREDSTEV</t>
  </si>
  <si>
    <t>V.</t>
  </si>
  <si>
    <t>PRESEŽEK (PRIMANJKLJAJ)</t>
  </si>
  <si>
    <t>(SKUPAJ PRIHODKI MINUS  SKUPAJ ODHODKI)</t>
  </si>
  <si>
    <t>…</t>
  </si>
  <si>
    <t>B.    RAČUN  FINANČNIH  TERJATEV  IN  NALOŽB</t>
  </si>
  <si>
    <t xml:space="preserve">PREJETA VRAČILA DANIH POSOJIL IN </t>
  </si>
  <si>
    <t>IV.</t>
  </si>
  <si>
    <t>PRODAJA KAPITALSKIH DELEŽEV</t>
  </si>
  <si>
    <t>(750+751)</t>
  </si>
  <si>
    <t xml:space="preserve">PREJETA VRAČILA DANIH POSOJIL </t>
  </si>
  <si>
    <t>Prejeta vracila danih posojil od posameznikov</t>
  </si>
  <si>
    <t>Prejeta vracila danih posojil od javnih podjetij</t>
  </si>
  <si>
    <t>Prejeta vracila danih posojil od financnih institucij</t>
  </si>
  <si>
    <t>Prejeta vracila danih posojil od privatnih podjetij in zasebnikov</t>
  </si>
  <si>
    <t>Prejeta vračila danih posojil od drugih ravni drzave</t>
  </si>
  <si>
    <t>Prejeta vracila danih posojil iz tujine</t>
  </si>
  <si>
    <t>Prejeta vračila danih posojil od drzavnega proracuna</t>
  </si>
  <si>
    <t xml:space="preserve">PRODAJA KAPITALSKIH DELEŽEV </t>
  </si>
  <si>
    <t xml:space="preserve">Sredstva, pridobljena s prodajo kapitalskih delezev v javnih podjetjih </t>
  </si>
  <si>
    <t>Sredstva, pridobljena s prodajo kapitalskih delezev v financnih institucijah</t>
  </si>
  <si>
    <t>Sredstva, pridobljena s prodajo kapitalskih delezev v privatnih podjetjih</t>
  </si>
  <si>
    <t xml:space="preserve">DANA POSOJILA IN POVEČANJE  </t>
  </si>
  <si>
    <t>KAPITALSKIH DELEŽEV</t>
  </si>
  <si>
    <t>DANA POSOJILA</t>
  </si>
  <si>
    <t>Dana posojila javnim posameznikom</t>
  </si>
  <si>
    <t>Dana posojila javnim skladom</t>
  </si>
  <si>
    <t>Dana posojila javnim podjetjem</t>
  </si>
  <si>
    <t>Dana posojila financnim institucijam</t>
  </si>
  <si>
    <t>Dana posojila privatnim podjetjem</t>
  </si>
  <si>
    <t>Dana posojila drugim ravnem države</t>
  </si>
  <si>
    <t>Dana posojila v tujino</t>
  </si>
  <si>
    <t>Dana posojila državnemu proračunu</t>
  </si>
  <si>
    <t xml:space="preserve">POVEČANJE KAPITALSKIH DELEŽEV </t>
  </si>
  <si>
    <t>Povecanje kapitalskih delezev v javnih podjetjih</t>
  </si>
  <si>
    <t>Povecanje kapitalskih delezev v financnih institucijah</t>
  </si>
  <si>
    <t>Povecanje kapitalskih delezev v privatnih podjetjih</t>
  </si>
  <si>
    <t>Skupna vlaganja (joint ventures)</t>
  </si>
  <si>
    <t>Povecanje kapitalskih delezev v tujino</t>
  </si>
  <si>
    <t>VI.</t>
  </si>
  <si>
    <t>PREJETA MINUS DANA POSOJILA</t>
  </si>
  <si>
    <t>IN SPREMEMBE KAPITALSKIH DELEŽEV</t>
  </si>
  <si>
    <t xml:space="preserve"> (IV. - V.)</t>
  </si>
  <si>
    <t>C.    R A Č U N    F I N A N C I R A N J A</t>
  </si>
  <si>
    <t>C.    HEALTH INSURANCE FUND BORROWING AND AMORTIZATION OF DEBT</t>
  </si>
  <si>
    <t>VII.</t>
  </si>
  <si>
    <t>ZADOLŽEVANJE  (500+501)</t>
  </si>
  <si>
    <t>DOMAČE ZADOLŽEVANJE</t>
  </si>
  <si>
    <t>Najeti krediti pri  Banki Slovenije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</si>
  <si>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</si>
  <si>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</si>
  <si>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</si>
  <si>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domacem trgu</t>
  </si>
  <si>
    <t>ZADOLŽEVANJE V TUJINI</t>
  </si>
  <si>
    <t>Najeti krediti pri mednarodnih financnih institucijah</t>
  </si>
  <si>
    <t>Najeti krediti pri tujih vladah</t>
  </si>
  <si>
    <t>Najeti krediti pri tujih poslovnih bankah in financnih institucijah</t>
  </si>
  <si>
    <t>Najeti krediti pri drugih tujih kreditodajalcih</t>
  </si>
  <si>
    <t>Sredstva, pridobljena z izdajo vrednostnih papirjev v tujini</t>
  </si>
  <si>
    <t>VIII.</t>
  </si>
  <si>
    <t>ODPLAČILA  DOLGA  (550+551)</t>
  </si>
  <si>
    <t xml:space="preserve">ODPLAČILA DOMAČEGA DOLGA </t>
  </si>
  <si>
    <t>Odplacila kreditov Banki Slovenije</t>
  </si>
  <si>
    <t>Odplačila kreditov poslovnim bankam</t>
  </si>
  <si>
    <t>Odplačila kreditov drugim finančnim institucijam</t>
  </si>
  <si>
    <t>Odplačila kreditov drugim domačim kreditodajalcem</t>
  </si>
  <si>
    <t>Odplacila glavnice vrednostnih papirjev</t>
  </si>
  <si>
    <t>DOLG KONEC LETA (500-550)</t>
  </si>
  <si>
    <t>ODPLAČILA DOLGA V TUJINO</t>
  </si>
  <si>
    <t>Odplacila dolga mednarodnim financnim institucijam</t>
  </si>
  <si>
    <t xml:space="preserve">Odplacila dolga tujim vladam </t>
  </si>
  <si>
    <t>Odplacila dolga tujim bankam in financnim institucijam</t>
  </si>
  <si>
    <t>Odplacila dolga drugim tujim kreditodajalcem</t>
  </si>
  <si>
    <t>STANJE DOLGA  (KUMULATIVA)</t>
  </si>
  <si>
    <t>IX.</t>
  </si>
  <si>
    <t xml:space="preserve">POVEČANJE (ZMANJŠANJE) </t>
  </si>
  <si>
    <t>SREDSTEV NA RAČUNIH (I.+IV.+VII.-II.-V.-VIII.)</t>
  </si>
  <si>
    <t>X.</t>
  </si>
  <si>
    <t>NETO FINANCIRANJE  (VI.+VII.-VIII.-IX. = - III.)</t>
  </si>
  <si>
    <t>EVIDENČNO :</t>
  </si>
  <si>
    <t>BRUTO DOMAČI PROIZVOD</t>
  </si>
  <si>
    <t>NEODPLAČAN DOLG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</si>
</sst>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L&quot;#,##0;\-&quot;L&quot;#,##0"/>
    <numFmt numFmtId="165" formatCode="&quot;L&quot;#,##0;[Red]\-&quot;L&quot;#,##0"/>
    <numFmt numFmtId="166" formatCode="&quot;L&quot;#,##0.00;\-&quot;L&quot;#,##0.00"/>
    <numFmt numFmtId="167" formatCode="&quot;L&quot;#,##0.00;[Red]\-&quot;L&quot;#,##0.00"/>
    <numFmt numFmtId="168" formatCode="_-&quot;L&quot;* #,##0_-;\-&quot;L&quot;* #,##0_-;_-&quot;L&quot;* &quot;-&quot;_-;_-@_-"/>
    <numFmt numFmtId="169" formatCode="_-* #,##0_-;\-* #,##0_-;_-* &quot;-&quot;_-;_-@_-"/>
    <numFmt numFmtId="170" formatCode="_-&quot;L&quot;* #,##0.00_-;\-&quot;L&quot;* #,##0.00_-;_-&quot;L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\ ;\(&quot;$&quot;#,##0\)"/>
    <numFmt numFmtId="181" formatCode="&quot;$&quot;#,##0\ ;[Red]\(&quot;$&quot;#,##0\)"/>
    <numFmt numFmtId="182" formatCode="&quot;$&quot;#,##0.00\ ;\(&quot;$&quot;#,##0.00\)"/>
    <numFmt numFmtId="183" formatCode="&quot;$&quot;#,##0.00\ ;[Red]\(&quot;$&quot;#,##0.00\)"/>
    <numFmt numFmtId="184" formatCode="m/d"/>
    <numFmt numFmtId="185" formatCode="#,##0.0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#,##0.00000"/>
    <numFmt numFmtId="192" formatCode="#,##0.0000"/>
    <numFmt numFmtId="193" formatCode="#,##0.000"/>
    <numFmt numFmtId="194" formatCode="0.0%"/>
  </numFmts>
  <fonts count="57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0"/>
      <color indexed="24"/>
      <name val="Arial CE"/>
      <family val="0"/>
    </font>
    <font>
      <sz val="10"/>
      <color indexed="8"/>
      <name val="Arial"/>
      <family val="0"/>
    </font>
    <font>
      <b/>
      <sz val="20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color indexed="8"/>
      <name val="Arial"/>
      <family val="0"/>
    </font>
    <font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6"/>
      <color indexed="8"/>
      <name val="Arial CE"/>
      <family val="2"/>
    </font>
    <font>
      <b/>
      <sz val="13"/>
      <color indexed="8"/>
      <name val="Arial CE"/>
      <family val="2"/>
    </font>
    <font>
      <b/>
      <sz val="10"/>
      <color indexed="8"/>
      <name val="Arial CE"/>
      <family val="2"/>
    </font>
    <font>
      <sz val="13"/>
      <color indexed="8"/>
      <name val="Arial CE"/>
      <family val="2"/>
    </font>
    <font>
      <i/>
      <sz val="10"/>
      <color indexed="8"/>
      <name val="Arial CE"/>
      <family val="2"/>
    </font>
    <font>
      <sz val="20"/>
      <color indexed="24"/>
      <name val="Arial"/>
      <family val="2"/>
    </font>
    <font>
      <b/>
      <i/>
      <sz val="11"/>
      <color indexed="8"/>
      <name val="Arial CE"/>
      <family val="2"/>
    </font>
    <font>
      <sz val="14"/>
      <color indexed="8"/>
      <name val="Arial CE"/>
      <family val="2"/>
    </font>
    <font>
      <b/>
      <sz val="22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sz val="16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u val="single"/>
      <sz val="13"/>
      <color indexed="8"/>
      <name val="Arial CE"/>
      <family val="2"/>
    </font>
    <font>
      <b/>
      <i/>
      <u val="single"/>
      <sz val="12"/>
      <color indexed="8"/>
      <name val="Arial CE"/>
      <family val="2"/>
    </font>
    <font>
      <u val="single"/>
      <sz val="12"/>
      <color indexed="8"/>
      <name val="Arial CE"/>
      <family val="2"/>
    </font>
    <font>
      <b/>
      <u val="single"/>
      <sz val="12"/>
      <color indexed="8"/>
      <name val="Arial CE"/>
      <family val="2"/>
    </font>
    <font>
      <b/>
      <sz val="26"/>
      <name val="Arial CE"/>
      <family val="2"/>
    </font>
    <font>
      <b/>
      <sz val="24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sz val="20"/>
      <color indexed="24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4"/>
      <name val="Arial CE"/>
      <family val="2"/>
    </font>
    <font>
      <b/>
      <sz val="18"/>
      <color indexed="8"/>
      <name val="Arial CE"/>
      <family val="2"/>
    </font>
    <font>
      <sz val="12"/>
      <color indexed="10"/>
      <name val="Arial CE"/>
      <family val="2"/>
    </font>
    <font>
      <sz val="12"/>
      <color indexed="56"/>
      <name val="Arial CE"/>
      <family val="2"/>
    </font>
    <font>
      <b/>
      <sz val="12"/>
      <name val="Arial CE"/>
      <family val="2"/>
    </font>
    <font>
      <i/>
      <sz val="11"/>
      <color indexed="8"/>
      <name val="Arial CE"/>
      <family val="2"/>
    </font>
    <font>
      <sz val="12"/>
      <color indexed="9"/>
      <name val="Arial CE"/>
      <family val="2"/>
    </font>
    <font>
      <i/>
      <sz val="12"/>
      <color indexed="8"/>
      <name val="Arial CE"/>
      <family val="2"/>
    </font>
    <font>
      <sz val="12"/>
      <color indexed="8"/>
      <name val="Arial"/>
      <family val="0"/>
    </font>
    <font>
      <b/>
      <sz val="11"/>
      <color indexed="8"/>
      <name val="Arial CE"/>
      <family val="2"/>
    </font>
    <font>
      <sz val="8"/>
      <name val="Tahoma"/>
      <family val="0"/>
    </font>
    <font>
      <b/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 CE"/>
      <family val="2"/>
    </font>
    <font>
      <sz val="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double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182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Continuous"/>
    </xf>
    <xf numFmtId="0" fontId="10" fillId="2" borderId="12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11" fillId="3" borderId="13" xfId="0" applyNumberFormat="1" applyFont="1" applyFill="1" applyBorder="1" applyAlignment="1">
      <alignment/>
    </xf>
    <xf numFmtId="3" fontId="13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85" fontId="11" fillId="3" borderId="13" xfId="0" applyNumberFormat="1" applyFont="1" applyFill="1" applyBorder="1" applyAlignment="1">
      <alignment horizontal="center"/>
    </xf>
    <xf numFmtId="0" fontId="8" fillId="0" borderId="5" xfId="0" applyFont="1" applyBorder="1" applyAlignment="1" quotePrefix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8" fillId="4" borderId="4" xfId="0" applyFont="1" applyFill="1" applyBorder="1" applyAlignment="1">
      <alignment/>
    </xf>
    <xf numFmtId="0" fontId="18" fillId="4" borderId="0" xfId="0" applyFont="1" applyFill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17" xfId="0" applyFont="1" applyBorder="1" applyAlignment="1">
      <alignment/>
    </xf>
    <xf numFmtId="0" fontId="19" fillId="0" borderId="21" xfId="0" applyFont="1" applyFill="1" applyBorder="1" applyAlignment="1">
      <alignment horizontal="right"/>
    </xf>
    <xf numFmtId="0" fontId="8" fillId="0" borderId="19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3" fontId="13" fillId="0" borderId="25" xfId="0" applyNumberFormat="1" applyFont="1" applyBorder="1" applyAlignment="1">
      <alignment/>
    </xf>
    <xf numFmtId="0" fontId="8" fillId="0" borderId="17" xfId="0" applyFont="1" applyBorder="1" applyAlignment="1" quotePrefix="1">
      <alignment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/>
    </xf>
    <xf numFmtId="186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185" fontId="8" fillId="0" borderId="26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0" fontId="22" fillId="0" borderId="15" xfId="0" applyFont="1" applyBorder="1" applyAlignment="1">
      <alignment/>
    </xf>
    <xf numFmtId="3" fontId="8" fillId="3" borderId="13" xfId="0" applyNumberFormat="1" applyFont="1" applyFill="1" applyBorder="1" applyAlignment="1">
      <alignment/>
    </xf>
    <xf numFmtId="0" fontId="16" fillId="5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8" fillId="4" borderId="21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6" fillId="0" borderId="21" xfId="0" applyFont="1" applyBorder="1" applyAlignment="1">
      <alignment/>
    </xf>
    <xf numFmtId="0" fontId="8" fillId="0" borderId="21" xfId="0" applyFont="1" applyBorder="1" applyAlignment="1" quotePrefix="1">
      <alignment horizontal="right"/>
    </xf>
    <xf numFmtId="0" fontId="8" fillId="0" borderId="21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Border="1" applyAlignment="1">
      <alignment/>
    </xf>
    <xf numFmtId="3" fontId="8" fillId="0" borderId="13" xfId="0" applyNumberFormat="1" applyFont="1" applyBorder="1" applyAlignment="1">
      <alignment/>
    </xf>
    <xf numFmtId="185" fontId="8" fillId="4" borderId="13" xfId="0" applyNumberFormat="1" applyFont="1" applyFill="1" applyBorder="1" applyAlignment="1">
      <alignment/>
    </xf>
    <xf numFmtId="3" fontId="8" fillId="4" borderId="13" xfId="0" applyNumberFormat="1" applyFont="1" applyFill="1" applyBorder="1" applyAlignment="1">
      <alignment/>
    </xf>
    <xf numFmtId="186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4" borderId="5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3" fontId="6" fillId="3" borderId="13" xfId="0" applyNumberFormat="1" applyFont="1" applyFill="1" applyBorder="1" applyAlignment="1">
      <alignment/>
    </xf>
    <xf numFmtId="185" fontId="6" fillId="3" borderId="13" xfId="0" applyNumberFormat="1" applyFont="1" applyFill="1" applyBorder="1" applyAlignment="1">
      <alignment/>
    </xf>
    <xf numFmtId="185" fontId="8" fillId="3" borderId="13" xfId="0" applyNumberFormat="1" applyFont="1" applyFill="1" applyBorder="1" applyAlignment="1">
      <alignment/>
    </xf>
    <xf numFmtId="3" fontId="26" fillId="3" borderId="13" xfId="0" applyNumberFormat="1" applyFont="1" applyFill="1" applyBorder="1" applyAlignment="1">
      <alignment/>
    </xf>
    <xf numFmtId="3" fontId="8" fillId="0" borderId="13" xfId="21" applyNumberFormat="1" applyFont="1" applyFill="1" applyBorder="1">
      <alignment/>
      <protection/>
    </xf>
    <xf numFmtId="3" fontId="6" fillId="0" borderId="13" xfId="0" applyNumberFormat="1" applyFont="1" applyBorder="1" applyAlignment="1">
      <alignment/>
    </xf>
    <xf numFmtId="185" fontId="6" fillId="4" borderId="13" xfId="0" applyNumberFormat="1" applyFont="1" applyFill="1" applyBorder="1" applyAlignment="1">
      <alignment/>
    </xf>
    <xf numFmtId="3" fontId="8" fillId="0" borderId="13" xfId="21" applyNumberFormat="1" applyFont="1" applyBorder="1">
      <alignment/>
      <protection/>
    </xf>
    <xf numFmtId="3" fontId="8" fillId="0" borderId="25" xfId="0" applyNumberFormat="1" applyFont="1" applyBorder="1" applyAlignment="1">
      <alignment/>
    </xf>
    <xf numFmtId="185" fontId="8" fillId="4" borderId="25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185" fontId="27" fillId="4" borderId="13" xfId="0" applyNumberFormat="1" applyFont="1" applyFill="1" applyBorder="1" applyAlignment="1">
      <alignment/>
    </xf>
    <xf numFmtId="3" fontId="6" fillId="4" borderId="13" xfId="0" applyNumberFormat="1" applyFont="1" applyFill="1" applyBorder="1" applyAlignment="1">
      <alignment/>
    </xf>
    <xf numFmtId="4" fontId="8" fillId="0" borderId="13" xfId="25" applyFont="1" applyBorder="1" applyAlignment="1" applyProtection="1">
      <alignment/>
      <protection locked="0"/>
    </xf>
    <xf numFmtId="3" fontId="6" fillId="0" borderId="13" xfId="0" applyNumberFormat="1" applyFont="1" applyBorder="1" applyAlignment="1">
      <alignment/>
    </xf>
    <xf numFmtId="3" fontId="6" fillId="3" borderId="13" xfId="0" applyNumberFormat="1" applyFont="1" applyFill="1" applyBorder="1" applyAlignment="1">
      <alignment/>
    </xf>
    <xf numFmtId="3" fontId="8" fillId="0" borderId="34" xfId="0" applyNumberFormat="1" applyFont="1" applyBorder="1" applyAlignment="1">
      <alignment/>
    </xf>
    <xf numFmtId="185" fontId="8" fillId="0" borderId="34" xfId="0" applyNumberFormat="1" applyFont="1" applyBorder="1" applyAlignment="1">
      <alignment/>
    </xf>
    <xf numFmtId="3" fontId="8" fillId="4" borderId="25" xfId="0" applyNumberFormat="1" applyFont="1" applyFill="1" applyBorder="1" applyAlignment="1">
      <alignment/>
    </xf>
    <xf numFmtId="0" fontId="27" fillId="3" borderId="5" xfId="0" applyFont="1" applyFill="1" applyBorder="1" applyAlignment="1">
      <alignment/>
    </xf>
    <xf numFmtId="185" fontId="6" fillId="3" borderId="13" xfId="0" applyNumberFormat="1" applyFont="1" applyFill="1" applyBorder="1" applyAlignment="1">
      <alignment horizontal="center"/>
    </xf>
    <xf numFmtId="3" fontId="8" fillId="3" borderId="13" xfId="0" applyNumberFormat="1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27" fillId="0" borderId="5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2" borderId="0" xfId="0" applyFont="1" applyFill="1" applyAlignment="1">
      <alignment/>
    </xf>
    <xf numFmtId="186" fontId="8" fillId="0" borderId="12" xfId="0" applyNumberFormat="1" applyFont="1" applyBorder="1" applyAlignment="1">
      <alignment/>
    </xf>
    <xf numFmtId="186" fontId="8" fillId="0" borderId="33" xfId="0" applyNumberFormat="1" applyFont="1" applyBorder="1" applyAlignment="1">
      <alignment/>
    </xf>
    <xf numFmtId="186" fontId="6" fillId="3" borderId="1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8" fillId="2" borderId="0" xfId="0" applyFont="1" applyFill="1" applyAlignment="1">
      <alignment horizontal="centerContinuous"/>
    </xf>
    <xf numFmtId="0" fontId="3" fillId="0" borderId="0" xfId="0" applyFont="1" applyAlignment="1">
      <alignment/>
    </xf>
    <xf numFmtId="0" fontId="29" fillId="2" borderId="0" xfId="0" applyFont="1" applyFill="1" applyAlignment="1">
      <alignment horizontal="centerContinuous"/>
    </xf>
    <xf numFmtId="0" fontId="30" fillId="2" borderId="0" xfId="0" applyFont="1" applyFill="1" applyAlignment="1">
      <alignment horizontal="centerContinuous"/>
    </xf>
    <xf numFmtId="0" fontId="31" fillId="2" borderId="0" xfId="0" applyFont="1" applyFill="1" applyAlignment="1">
      <alignment horizontal="centerContinuous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0" fillId="2" borderId="0" xfId="0" applyFont="1" applyFill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2" fillId="0" borderId="35" xfId="0" applyFont="1" applyBorder="1" applyAlignment="1">
      <alignment/>
    </xf>
    <xf numFmtId="0" fontId="34" fillId="0" borderId="36" xfId="0" applyFont="1" applyBorder="1" applyAlignment="1">
      <alignment horizontal="centerContinuous"/>
    </xf>
    <xf numFmtId="0" fontId="35" fillId="0" borderId="37" xfId="0" applyFont="1" applyBorder="1" applyAlignment="1">
      <alignment horizontal="centerContinuous"/>
    </xf>
    <xf numFmtId="0" fontId="22" fillId="0" borderId="38" xfId="0" applyFont="1" applyBorder="1" applyAlignment="1">
      <alignment/>
    </xf>
    <xf numFmtId="0" fontId="34" fillId="0" borderId="11" xfId="0" applyFont="1" applyBorder="1" applyAlignment="1">
      <alignment horizontal="centerContinuous"/>
    </xf>
    <xf numFmtId="0" fontId="35" fillId="0" borderId="9" xfId="0" applyFont="1" applyBorder="1" applyAlignment="1">
      <alignment horizontal="centerContinuous"/>
    </xf>
    <xf numFmtId="0" fontId="22" fillId="0" borderId="10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5" fillId="0" borderId="40" xfId="0" applyFont="1" applyBorder="1" applyAlignment="1">
      <alignment horizontal="centerContinuous"/>
    </xf>
    <xf numFmtId="0" fontId="22" fillId="0" borderId="41" xfId="0" applyFont="1" applyBorder="1" applyAlignment="1">
      <alignment/>
    </xf>
    <xf numFmtId="0" fontId="12" fillId="2" borderId="16" xfId="0" applyFont="1" applyFill="1" applyBorder="1" applyAlignment="1">
      <alignment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 quotePrefix="1">
      <alignment horizontal="center"/>
    </xf>
    <xf numFmtId="0" fontId="22" fillId="0" borderId="43" xfId="0" applyFont="1" applyBorder="1" applyAlignment="1">
      <alignment/>
    </xf>
    <xf numFmtId="0" fontId="22" fillId="0" borderId="25" xfId="0" applyFont="1" applyBorder="1" applyAlignment="1">
      <alignment/>
    </xf>
    <xf numFmtId="0" fontId="22" fillId="5" borderId="43" xfId="0" applyFont="1" applyFill="1" applyBorder="1" applyAlignment="1">
      <alignment/>
    </xf>
    <xf numFmtId="0" fontId="22" fillId="5" borderId="20" xfId="0" applyFont="1" applyFill="1" applyBorder="1" applyAlignment="1">
      <alignment/>
    </xf>
    <xf numFmtId="0" fontId="22" fillId="5" borderId="44" xfId="0" applyFont="1" applyFill="1" applyBorder="1" applyAlignment="1">
      <alignment/>
    </xf>
    <xf numFmtId="0" fontId="22" fillId="5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8" fillId="6" borderId="21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left"/>
    </xf>
    <xf numFmtId="0" fontId="19" fillId="0" borderId="19" xfId="0" applyFont="1" applyFill="1" applyBorder="1" applyAlignment="1">
      <alignment horizontal="right"/>
    </xf>
    <xf numFmtId="0" fontId="19" fillId="0" borderId="22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right"/>
    </xf>
    <xf numFmtId="0" fontId="19" fillId="0" borderId="2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19" fillId="0" borderId="44" xfId="0" applyFont="1" applyFill="1" applyBorder="1" applyAlignment="1">
      <alignment horizontal="right"/>
    </xf>
    <xf numFmtId="3" fontId="22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9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6" fillId="3" borderId="29" xfId="0" applyFont="1" applyFill="1" applyBorder="1" applyAlignment="1">
      <alignment/>
    </xf>
    <xf numFmtId="0" fontId="6" fillId="3" borderId="29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8" fillId="0" borderId="5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8" fillId="0" borderId="35" xfId="0" applyFont="1" applyBorder="1" applyAlignment="1">
      <alignment/>
    </xf>
    <xf numFmtId="0" fontId="6" fillId="0" borderId="36" xfId="0" applyFont="1" applyBorder="1" applyAlignment="1">
      <alignment horizontal="centerContinuous"/>
    </xf>
    <xf numFmtId="0" fontId="6" fillId="0" borderId="37" xfId="0" applyFont="1" applyBorder="1" applyAlignment="1">
      <alignment horizontal="centerContinuous"/>
    </xf>
    <xf numFmtId="0" fontId="8" fillId="0" borderId="38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8" fillId="0" borderId="41" xfId="0" applyFont="1" applyBorder="1" applyAlignment="1">
      <alignment/>
    </xf>
    <xf numFmtId="0" fontId="6" fillId="2" borderId="16" xfId="0" applyFont="1" applyFill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Continuous"/>
    </xf>
    <xf numFmtId="0" fontId="6" fillId="3" borderId="3" xfId="0" applyFont="1" applyFill="1" applyBorder="1" applyAlignment="1">
      <alignment/>
    </xf>
    <xf numFmtId="0" fontId="8" fillId="0" borderId="52" xfId="0" applyFont="1" applyBorder="1" applyAlignment="1">
      <alignment/>
    </xf>
    <xf numFmtId="0" fontId="6" fillId="3" borderId="24" xfId="0" applyFont="1" applyFill="1" applyBorder="1" applyAlignment="1">
      <alignment/>
    </xf>
    <xf numFmtId="0" fontId="8" fillId="0" borderId="3" xfId="0" applyFont="1" applyBorder="1" applyAlignment="1">
      <alignment/>
    </xf>
    <xf numFmtId="0" fontId="6" fillId="3" borderId="3" xfId="0" applyFont="1" applyFill="1" applyBorder="1" applyAlignment="1">
      <alignment/>
    </xf>
    <xf numFmtId="185" fontId="8" fillId="0" borderId="0" xfId="0" applyNumberFormat="1" applyFont="1" applyAlignment="1">
      <alignment horizontal="centerContinuous"/>
    </xf>
    <xf numFmtId="0" fontId="6" fillId="3" borderId="4" xfId="0" applyFont="1" applyFill="1" applyBorder="1" applyAlignment="1">
      <alignment horizontal="right"/>
    </xf>
    <xf numFmtId="0" fontId="27" fillId="3" borderId="24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53" xfId="0" applyFont="1" applyBorder="1" applyAlignment="1">
      <alignment/>
    </xf>
    <xf numFmtId="0" fontId="8" fillId="3" borderId="54" xfId="0" applyFont="1" applyFill="1" applyBorder="1" applyAlignment="1">
      <alignment/>
    </xf>
    <xf numFmtId="0" fontId="8" fillId="3" borderId="55" xfId="0" applyFont="1" applyFill="1" applyBorder="1" applyAlignment="1">
      <alignment/>
    </xf>
    <xf numFmtId="0" fontId="22" fillId="3" borderId="55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6" fillId="3" borderId="0" xfId="25" applyNumberFormat="1" applyFont="1" applyFill="1" applyBorder="1" applyAlignment="1">
      <alignment/>
    </xf>
    <xf numFmtId="185" fontId="6" fillId="3" borderId="0" xfId="25" applyNumberFormat="1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8" fillId="3" borderId="56" xfId="0" applyFont="1" applyFill="1" applyBorder="1" applyAlignment="1">
      <alignment/>
    </xf>
    <xf numFmtId="0" fontId="8" fillId="3" borderId="57" xfId="0" applyFont="1" applyFill="1" applyBorder="1" applyAlignment="1">
      <alignment/>
    </xf>
    <xf numFmtId="2" fontId="8" fillId="3" borderId="57" xfId="0" applyNumberFormat="1" applyFont="1" applyFill="1" applyBorder="1" applyAlignment="1">
      <alignment/>
    </xf>
    <xf numFmtId="186" fontId="36" fillId="3" borderId="57" xfId="0" applyNumberFormat="1" applyFont="1" applyFill="1" applyBorder="1" applyAlignment="1">
      <alignment/>
    </xf>
    <xf numFmtId="0" fontId="22" fillId="3" borderId="57" xfId="0" applyFont="1" applyFill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 quotePrefix="1">
      <alignment/>
    </xf>
    <xf numFmtId="3" fontId="8" fillId="4" borderId="13" xfId="21" applyNumberFormat="1" applyFont="1" applyFill="1" applyBorder="1">
      <alignment/>
      <protection/>
    </xf>
    <xf numFmtId="3" fontId="6" fillId="0" borderId="13" xfId="21" applyNumberFormat="1" applyFont="1" applyFill="1" applyBorder="1">
      <alignment/>
      <protection/>
    </xf>
    <xf numFmtId="3" fontId="6" fillId="3" borderId="13" xfId="21" applyNumberFormat="1" applyFont="1" applyFill="1" applyBorder="1">
      <alignment/>
      <protection/>
    </xf>
    <xf numFmtId="3" fontId="6" fillId="0" borderId="13" xfId="21" applyNumberFormat="1" applyFont="1" applyBorder="1">
      <alignment/>
      <protection/>
    </xf>
    <xf numFmtId="3" fontId="8" fillId="0" borderId="14" xfId="21" applyNumberFormat="1" applyFont="1" applyBorder="1">
      <alignment/>
      <protection/>
    </xf>
    <xf numFmtId="3" fontId="8" fillId="0" borderId="12" xfId="21" applyNumberFormat="1" applyFont="1" applyBorder="1">
      <alignment/>
      <protection/>
    </xf>
    <xf numFmtId="3" fontId="8" fillId="0" borderId="33" xfId="21" applyNumberFormat="1" applyFont="1" applyBorder="1">
      <alignment/>
      <protection/>
    </xf>
    <xf numFmtId="185" fontId="8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27" fillId="7" borderId="5" xfId="0" applyFont="1" applyFill="1" applyBorder="1" applyAlignment="1">
      <alignment/>
    </xf>
    <xf numFmtId="3" fontId="6" fillId="7" borderId="13" xfId="0" applyNumberFormat="1" applyFont="1" applyFill="1" applyBorder="1" applyAlignment="1">
      <alignment/>
    </xf>
    <xf numFmtId="185" fontId="8" fillId="7" borderId="13" xfId="0" applyNumberFormat="1" applyFont="1" applyFill="1" applyBorder="1" applyAlignment="1">
      <alignment/>
    </xf>
    <xf numFmtId="0" fontId="25" fillId="3" borderId="5" xfId="0" applyFont="1" applyFill="1" applyBorder="1" applyAlignment="1">
      <alignment/>
    </xf>
    <xf numFmtId="4" fontId="25" fillId="3" borderId="13" xfId="0" applyNumberFormat="1" applyFont="1" applyFill="1" applyBorder="1" applyAlignment="1">
      <alignment/>
    </xf>
    <xf numFmtId="0" fontId="8" fillId="3" borderId="21" xfId="0" applyFont="1" applyFill="1" applyBorder="1" applyAlignment="1">
      <alignment/>
    </xf>
    <xf numFmtId="2" fontId="27" fillId="3" borderId="13" xfId="0" applyNumberFormat="1" applyFont="1" applyFill="1" applyBorder="1" applyAlignment="1">
      <alignment/>
    </xf>
    <xf numFmtId="0" fontId="25" fillId="3" borderId="18" xfId="0" applyFont="1" applyFill="1" applyBorder="1" applyAlignment="1">
      <alignment/>
    </xf>
    <xf numFmtId="3" fontId="8" fillId="7" borderId="13" xfId="0" applyNumberFormat="1" applyFont="1" applyFill="1" applyBorder="1" applyAlignment="1">
      <alignment/>
    </xf>
    <xf numFmtId="185" fontId="6" fillId="7" borderId="13" xfId="0" applyNumberFormat="1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Continuous"/>
    </xf>
    <xf numFmtId="0" fontId="12" fillId="8" borderId="16" xfId="0" applyFont="1" applyFill="1" applyBorder="1" applyAlignment="1">
      <alignment/>
    </xf>
    <xf numFmtId="0" fontId="12" fillId="8" borderId="16" xfId="0" applyFont="1" applyFill="1" applyBorder="1" applyAlignment="1">
      <alignment horizontal="center"/>
    </xf>
    <xf numFmtId="0" fontId="8" fillId="8" borderId="38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8" fillId="8" borderId="41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3" fontId="6" fillId="8" borderId="58" xfId="0" applyNumberFormat="1" applyFont="1" applyFill="1" applyBorder="1" applyAlignment="1">
      <alignment/>
    </xf>
    <xf numFmtId="3" fontId="11" fillId="8" borderId="58" xfId="0" applyNumberFormat="1" applyFont="1" applyFill="1" applyBorder="1" applyAlignment="1">
      <alignment/>
    </xf>
    <xf numFmtId="0" fontId="6" fillId="8" borderId="41" xfId="0" applyFont="1" applyFill="1" applyBorder="1" applyAlignment="1">
      <alignment/>
    </xf>
    <xf numFmtId="3" fontId="6" fillId="8" borderId="16" xfId="0" applyNumberFormat="1" applyFont="1" applyFill="1" applyBorder="1" applyAlignment="1">
      <alignment/>
    </xf>
    <xf numFmtId="185" fontId="6" fillId="8" borderId="16" xfId="0" applyNumberFormat="1" applyFont="1" applyFill="1" applyBorder="1" applyAlignment="1">
      <alignment horizontal="center"/>
    </xf>
    <xf numFmtId="185" fontId="11" fillId="8" borderId="16" xfId="0" applyNumberFormat="1" applyFont="1" applyFill="1" applyBorder="1" applyAlignment="1">
      <alignment horizontal="center"/>
    </xf>
    <xf numFmtId="0" fontId="27" fillId="8" borderId="59" xfId="0" applyFont="1" applyFill="1" applyBorder="1" applyAlignment="1">
      <alignment/>
    </xf>
    <xf numFmtId="3" fontId="6" fillId="8" borderId="14" xfId="0" applyNumberFormat="1" applyFont="1" applyFill="1" applyBorder="1" applyAlignment="1">
      <alignment/>
    </xf>
    <xf numFmtId="185" fontId="6" fillId="8" borderId="14" xfId="0" applyNumberFormat="1" applyFont="1" applyFill="1" applyBorder="1" applyAlignment="1">
      <alignment horizontal="center"/>
    </xf>
    <xf numFmtId="3" fontId="11" fillId="8" borderId="14" xfId="0" applyNumberFormat="1" applyFont="1" applyFill="1" applyBorder="1" applyAlignment="1">
      <alignment/>
    </xf>
    <xf numFmtId="185" fontId="11" fillId="8" borderId="14" xfId="0" applyNumberFormat="1" applyFont="1" applyFill="1" applyBorder="1" applyAlignment="1">
      <alignment horizontal="center"/>
    </xf>
    <xf numFmtId="0" fontId="22" fillId="7" borderId="25" xfId="0" applyFont="1" applyFill="1" applyBorder="1" applyAlignment="1">
      <alignment/>
    </xf>
    <xf numFmtId="186" fontId="9" fillId="7" borderId="25" xfId="0" applyNumberFormat="1" applyFont="1" applyFill="1" applyBorder="1" applyAlignment="1">
      <alignment/>
    </xf>
    <xf numFmtId="0" fontId="17" fillId="7" borderId="25" xfId="0" applyFont="1" applyFill="1" applyBorder="1" applyAlignment="1">
      <alignment/>
    </xf>
    <xf numFmtId="0" fontId="22" fillId="5" borderId="18" xfId="0" applyFont="1" applyFill="1" applyBorder="1" applyAlignment="1">
      <alignment/>
    </xf>
    <xf numFmtId="0" fontId="22" fillId="5" borderId="25" xfId="0" applyFont="1" applyFill="1" applyBorder="1" applyAlignment="1">
      <alignment/>
    </xf>
    <xf numFmtId="0" fontId="23" fillId="5" borderId="25" xfId="0" applyFont="1" applyFill="1" applyBorder="1" applyAlignment="1">
      <alignment/>
    </xf>
    <xf numFmtId="0" fontId="14" fillId="5" borderId="18" xfId="0" applyFont="1" applyFill="1" applyBorder="1" applyAlignment="1">
      <alignment/>
    </xf>
    <xf numFmtId="186" fontId="8" fillId="5" borderId="25" xfId="0" applyNumberFormat="1" applyFont="1" applyFill="1" applyBorder="1" applyAlignment="1">
      <alignment/>
    </xf>
    <xf numFmtId="0" fontId="8" fillId="5" borderId="25" xfId="0" applyFont="1" applyFill="1" applyBorder="1" applyAlignment="1">
      <alignment/>
    </xf>
    <xf numFmtId="186" fontId="8" fillId="5" borderId="25" xfId="0" applyNumberFormat="1" applyFont="1" applyFill="1" applyBorder="1" applyAlignment="1">
      <alignment horizontal="center"/>
    </xf>
    <xf numFmtId="186" fontId="8" fillId="5" borderId="25" xfId="0" applyNumberFormat="1" applyFont="1" applyFill="1" applyBorder="1" applyAlignment="1">
      <alignment/>
    </xf>
    <xf numFmtId="0" fontId="22" fillId="5" borderId="25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7" borderId="18" xfId="0" applyFont="1" applyFill="1" applyBorder="1" applyAlignment="1">
      <alignment/>
    </xf>
    <xf numFmtId="0" fontId="37" fillId="5" borderId="18" xfId="0" applyFont="1" applyFill="1" applyBorder="1" applyAlignment="1">
      <alignment/>
    </xf>
    <xf numFmtId="186" fontId="6" fillId="5" borderId="25" xfId="0" applyNumberFormat="1" applyFont="1" applyFill="1" applyBorder="1" applyAlignment="1">
      <alignment/>
    </xf>
    <xf numFmtId="185" fontId="8" fillId="0" borderId="25" xfId="0" applyNumberFormat="1" applyFont="1" applyFill="1" applyBorder="1" applyAlignment="1">
      <alignment/>
    </xf>
    <xf numFmtId="0" fontId="38" fillId="2" borderId="0" xfId="0" applyFont="1" applyFill="1" applyAlignment="1">
      <alignment horizontal="centerContinuous"/>
    </xf>
    <xf numFmtId="0" fontId="16" fillId="0" borderId="20" xfId="0" applyFont="1" applyFill="1" applyBorder="1" applyAlignment="1">
      <alignment/>
    </xf>
    <xf numFmtId="0" fontId="22" fillId="7" borderId="43" xfId="0" applyFont="1" applyFill="1" applyBorder="1" applyAlignment="1">
      <alignment/>
    </xf>
    <xf numFmtId="0" fontId="16" fillId="7" borderId="20" xfId="0" applyFont="1" applyFill="1" applyBorder="1" applyAlignment="1">
      <alignment/>
    </xf>
    <xf numFmtId="0" fontId="34" fillId="8" borderId="60" xfId="0" applyFont="1" applyFill="1" applyBorder="1" applyAlignment="1">
      <alignment horizontal="centerContinuous"/>
    </xf>
    <xf numFmtId="0" fontId="35" fillId="8" borderId="9" xfId="0" applyFont="1" applyFill="1" applyBorder="1" applyAlignment="1">
      <alignment horizontal="centerContinuous"/>
    </xf>
    <xf numFmtId="0" fontId="12" fillId="8" borderId="60" xfId="0" applyFont="1" applyFill="1" applyBorder="1" applyAlignment="1">
      <alignment horizontal="center"/>
    </xf>
    <xf numFmtId="0" fontId="34" fillId="8" borderId="61" xfId="0" applyFont="1" applyFill="1" applyBorder="1" applyAlignment="1">
      <alignment horizontal="centerContinuous"/>
    </xf>
    <xf numFmtId="0" fontId="35" fillId="8" borderId="40" xfId="0" applyFont="1" applyFill="1" applyBorder="1" applyAlignment="1">
      <alignment horizontal="centerContinuous"/>
    </xf>
    <xf numFmtId="0" fontId="6" fillId="7" borderId="21" xfId="0" applyFont="1" applyFill="1" applyBorder="1" applyAlignment="1">
      <alignment horizontal="right"/>
    </xf>
    <xf numFmtId="0" fontId="6" fillId="7" borderId="4" xfId="0" applyFont="1" applyFill="1" applyBorder="1" applyAlignment="1">
      <alignment/>
    </xf>
    <xf numFmtId="0" fontId="39" fillId="2" borderId="0" xfId="0" applyFont="1" applyFill="1" applyAlignment="1">
      <alignment horizontal="left"/>
    </xf>
    <xf numFmtId="0" fontId="6" fillId="0" borderId="5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3" fontId="19" fillId="0" borderId="13" xfId="21" applyNumberFormat="1" applyFont="1" applyFill="1" applyBorder="1">
      <alignment/>
      <protection/>
    </xf>
    <xf numFmtId="4" fontId="16" fillId="3" borderId="13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86" fontId="24" fillId="0" borderId="0" xfId="0" applyNumberFormat="1" applyFont="1" applyFill="1" applyBorder="1" applyAlignment="1">
      <alignment/>
    </xf>
    <xf numFmtId="0" fontId="34" fillId="8" borderId="62" xfId="0" applyFont="1" applyFill="1" applyBorder="1" applyAlignment="1">
      <alignment horizontal="centerContinuous"/>
    </xf>
    <xf numFmtId="0" fontId="35" fillId="8" borderId="63" xfId="0" applyFont="1" applyFill="1" applyBorder="1" applyAlignment="1">
      <alignment horizontal="centerContinuous"/>
    </xf>
    <xf numFmtId="0" fontId="12" fillId="8" borderId="64" xfId="0" applyFont="1" applyFill="1" applyBorder="1" applyAlignment="1">
      <alignment horizontal="center"/>
    </xf>
    <xf numFmtId="0" fontId="9" fillId="8" borderId="64" xfId="0" applyFont="1" applyFill="1" applyBorder="1" applyAlignment="1">
      <alignment horizontal="center"/>
    </xf>
    <xf numFmtId="0" fontId="8" fillId="3" borderId="65" xfId="0" applyFont="1" applyFill="1" applyBorder="1" applyAlignment="1">
      <alignment/>
    </xf>
    <xf numFmtId="0" fontId="6" fillId="3" borderId="66" xfId="0" applyFont="1" applyFill="1" applyBorder="1" applyAlignment="1">
      <alignment/>
    </xf>
    <xf numFmtId="0" fontId="25" fillId="3" borderId="67" xfId="0" applyFont="1" applyFill="1" applyBorder="1" applyAlignment="1">
      <alignment/>
    </xf>
    <xf numFmtId="4" fontId="25" fillId="3" borderId="68" xfId="0" applyNumberFormat="1" applyFont="1" applyFill="1" applyBorder="1" applyAlignment="1">
      <alignment/>
    </xf>
    <xf numFmtId="3" fontId="26" fillId="3" borderId="68" xfId="0" applyNumberFormat="1" applyFont="1" applyFill="1" applyBorder="1" applyAlignment="1">
      <alignment/>
    </xf>
    <xf numFmtId="3" fontId="41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3" fontId="20" fillId="0" borderId="13" xfId="21" applyNumberFormat="1" applyFont="1" applyFill="1" applyBorder="1">
      <alignment/>
      <protection/>
    </xf>
    <xf numFmtId="0" fontId="18" fillId="2" borderId="0" xfId="0" applyFont="1" applyFill="1" applyAlignment="1">
      <alignment horizontal="centerContinuous"/>
    </xf>
    <xf numFmtId="4" fontId="8" fillId="0" borderId="13" xfId="0" applyNumberFormat="1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191" fontId="8" fillId="4" borderId="13" xfId="25" applyNumberFormat="1" applyFont="1" applyFill="1" applyBorder="1" applyAlignment="1">
      <alignment/>
    </xf>
    <xf numFmtId="0" fontId="4" fillId="7" borderId="31" xfId="0" applyFont="1" applyFill="1" applyBorder="1" applyAlignment="1">
      <alignment/>
    </xf>
    <xf numFmtId="0" fontId="8" fillId="7" borderId="21" xfId="0" applyFont="1" applyFill="1" applyBorder="1" applyAlignment="1">
      <alignment horizontal="centerContinuous"/>
    </xf>
    <xf numFmtId="3" fontId="40" fillId="0" borderId="13" xfId="21" applyNumberFormat="1" applyFont="1" applyFill="1" applyBorder="1">
      <alignment/>
      <protection/>
    </xf>
    <xf numFmtId="3" fontId="6" fillId="0" borderId="13" xfId="0" applyNumberFormat="1" applyFont="1" applyFill="1" applyBorder="1" applyAlignment="1">
      <alignment/>
    </xf>
    <xf numFmtId="194" fontId="17" fillId="7" borderId="2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8" fillId="8" borderId="69" xfId="0" applyFont="1" applyFill="1" applyBorder="1" applyAlignment="1">
      <alignment/>
    </xf>
    <xf numFmtId="0" fontId="6" fillId="8" borderId="70" xfId="0" applyFont="1" applyFill="1" applyBorder="1" applyAlignment="1">
      <alignment/>
    </xf>
    <xf numFmtId="0" fontId="8" fillId="8" borderId="39" xfId="0" applyFont="1" applyFill="1" applyBorder="1" applyAlignment="1">
      <alignment/>
    </xf>
    <xf numFmtId="0" fontId="6" fillId="8" borderId="40" xfId="0" applyFont="1" applyFill="1" applyBorder="1" applyAlignment="1">
      <alignment/>
    </xf>
    <xf numFmtId="0" fontId="8" fillId="8" borderId="6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22" fillId="8" borderId="10" xfId="0" applyFont="1" applyFill="1" applyBorder="1" applyAlignment="1" quotePrefix="1">
      <alignment/>
    </xf>
    <xf numFmtId="0" fontId="4" fillId="8" borderId="0" xfId="0" applyFont="1" applyFill="1" applyBorder="1" applyAlignment="1">
      <alignment/>
    </xf>
    <xf numFmtId="0" fontId="22" fillId="8" borderId="41" xfId="0" applyFont="1" applyFill="1" applyBorder="1" applyAlignment="1" quotePrefix="1">
      <alignment/>
    </xf>
    <xf numFmtId="0" fontId="22" fillId="0" borderId="57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Border="1" applyAlignment="1" quotePrefix="1">
      <alignment/>
    </xf>
    <xf numFmtId="0" fontId="23" fillId="0" borderId="5" xfId="0" applyFont="1" applyBorder="1" applyAlignment="1" quotePrefix="1">
      <alignment/>
    </xf>
    <xf numFmtId="3" fontId="42" fillId="0" borderId="13" xfId="0" applyNumberFormat="1" applyFont="1" applyBorder="1" applyAlignment="1">
      <alignment/>
    </xf>
    <xf numFmtId="3" fontId="23" fillId="0" borderId="13" xfId="21" applyNumberFormat="1" applyFont="1" applyFill="1" applyBorder="1">
      <alignment/>
      <protection/>
    </xf>
    <xf numFmtId="185" fontId="23" fillId="4" borderId="13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0" fontId="43" fillId="0" borderId="23" xfId="0" applyFont="1" applyBorder="1" applyAlignment="1">
      <alignment/>
    </xf>
    <xf numFmtId="3" fontId="44" fillId="4" borderId="13" xfId="0" applyNumberFormat="1" applyFont="1" applyFill="1" applyBorder="1" applyAlignment="1">
      <alignment/>
    </xf>
    <xf numFmtId="0" fontId="9" fillId="8" borderId="64" xfId="0" applyFont="1" applyFill="1" applyBorder="1" applyAlignment="1">
      <alignment horizontal="centerContinuous" vertical="center" wrapText="1"/>
    </xf>
    <xf numFmtId="0" fontId="9" fillId="8" borderId="12" xfId="0" applyFont="1" applyFill="1" applyBorder="1" applyAlignment="1">
      <alignment horizontal="centerContinuous" vertical="center"/>
    </xf>
    <xf numFmtId="0" fontId="9" fillId="8" borderId="16" xfId="0" applyFont="1" applyFill="1" applyBorder="1" applyAlignment="1">
      <alignment horizontal="centerContinuous" vertical="center"/>
    </xf>
    <xf numFmtId="0" fontId="12" fillId="8" borderId="64" xfId="0" applyFont="1" applyFill="1" applyBorder="1" applyAlignment="1">
      <alignment horizontal="centerContinuous" vertical="center" wrapText="1"/>
    </xf>
    <xf numFmtId="0" fontId="12" fillId="8" borderId="12" xfId="0" applyFont="1" applyFill="1" applyBorder="1" applyAlignment="1">
      <alignment horizontal="centerContinuous" vertical="center" wrapText="1"/>
    </xf>
    <xf numFmtId="0" fontId="12" fillId="8" borderId="16" xfId="0" applyFont="1" applyFill="1" applyBorder="1" applyAlignment="1">
      <alignment horizontal="centerContinuous" vertical="center" wrapText="1"/>
    </xf>
    <xf numFmtId="186" fontId="8" fillId="5" borderId="25" xfId="0" applyNumberFormat="1" applyFont="1" applyFill="1" applyBorder="1" applyAlignment="1">
      <alignment horizontal="right"/>
    </xf>
    <xf numFmtId="0" fontId="22" fillId="5" borderId="25" xfId="0" applyFont="1" applyFill="1" applyBorder="1" applyAlignment="1">
      <alignment horizontal="right"/>
    </xf>
    <xf numFmtId="0" fontId="9" fillId="8" borderId="64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/>
    </xf>
    <xf numFmtId="0" fontId="45" fillId="0" borderId="21" xfId="0" applyFont="1" applyBorder="1" applyAlignment="1">
      <alignment/>
    </xf>
    <xf numFmtId="0" fontId="45" fillId="0" borderId="4" xfId="0" applyFont="1" applyBorder="1" applyAlignment="1">
      <alignment/>
    </xf>
    <xf numFmtId="0" fontId="45" fillId="0" borderId="5" xfId="0" applyFont="1" applyBorder="1" applyAlignment="1">
      <alignment/>
    </xf>
    <xf numFmtId="0" fontId="45" fillId="0" borderId="4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8" fillId="2" borderId="0" xfId="0" applyFont="1" applyFill="1" applyAlignment="1">
      <alignment horizontal="left"/>
    </xf>
    <xf numFmtId="3" fontId="8" fillId="0" borderId="0" xfId="0" applyNumberFormat="1" applyFont="1" applyBorder="1" applyAlignment="1">
      <alignment/>
    </xf>
    <xf numFmtId="185" fontId="6" fillId="3" borderId="13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8" fillId="0" borderId="51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47" fillId="0" borderId="25" xfId="0" applyNumberFormat="1" applyFont="1" applyBorder="1" applyAlignment="1">
      <alignment/>
    </xf>
    <xf numFmtId="0" fontId="8" fillId="0" borderId="71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7" xfId="0" applyFont="1" applyBorder="1" applyAlignment="1">
      <alignment/>
    </xf>
    <xf numFmtId="3" fontId="8" fillId="0" borderId="68" xfId="0" applyNumberFormat="1" applyFont="1" applyBorder="1" applyAlignment="1">
      <alignment/>
    </xf>
    <xf numFmtId="0" fontId="30" fillId="2" borderId="0" xfId="0" applyFont="1" applyFill="1" applyAlignment="1">
      <alignment horizontal="left"/>
    </xf>
    <xf numFmtId="4" fontId="19" fillId="0" borderId="13" xfId="25" applyFont="1" applyBorder="1" applyAlignment="1" applyProtection="1">
      <alignment/>
      <protection locked="0"/>
    </xf>
    <xf numFmtId="3" fontId="19" fillId="0" borderId="13" xfId="0" applyNumberFormat="1" applyFont="1" applyFill="1" applyBorder="1" applyAlignment="1">
      <alignment/>
    </xf>
    <xf numFmtId="186" fontId="6" fillId="3" borderId="13" xfId="0" applyNumberFormat="1" applyFont="1" applyFill="1" applyBorder="1" applyAlignment="1">
      <alignment/>
    </xf>
    <xf numFmtId="186" fontId="8" fillId="0" borderId="68" xfId="0" applyNumberFormat="1" applyFont="1" applyBorder="1" applyAlignment="1">
      <alignment/>
    </xf>
    <xf numFmtId="186" fontId="6" fillId="0" borderId="25" xfId="0" applyNumberFormat="1" applyFont="1" applyBorder="1" applyAlignment="1">
      <alignment/>
    </xf>
    <xf numFmtId="186" fontId="13" fillId="0" borderId="13" xfId="0" applyNumberFormat="1" applyFont="1" applyBorder="1" applyAlignment="1">
      <alignment/>
    </xf>
    <xf numFmtId="186" fontId="13" fillId="0" borderId="14" xfId="0" applyNumberFormat="1" applyFont="1" applyBorder="1" applyAlignment="1">
      <alignment/>
    </xf>
    <xf numFmtId="186" fontId="13" fillId="0" borderId="12" xfId="0" applyNumberFormat="1" applyFont="1" applyBorder="1" applyAlignment="1">
      <alignment/>
    </xf>
    <xf numFmtId="186" fontId="11" fillId="0" borderId="25" xfId="0" applyNumberFormat="1" applyFont="1" applyBorder="1" applyAlignment="1">
      <alignment/>
    </xf>
    <xf numFmtId="186" fontId="6" fillId="0" borderId="14" xfId="0" applyNumberFormat="1" applyFont="1" applyBorder="1" applyAlignment="1">
      <alignment/>
    </xf>
    <xf numFmtId="186" fontId="6" fillId="0" borderId="12" xfId="0" applyNumberFormat="1" applyFont="1" applyBorder="1" applyAlignment="1">
      <alignment/>
    </xf>
    <xf numFmtId="0" fontId="10" fillId="8" borderId="12" xfId="0" applyFont="1" applyFill="1" applyBorder="1" applyAlignment="1">
      <alignment horizontal="centerContinuous" vertical="center"/>
    </xf>
    <xf numFmtId="4" fontId="8" fillId="0" borderId="4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4" fontId="25" fillId="3" borderId="72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/>
    </xf>
    <xf numFmtId="3" fontId="49" fillId="0" borderId="73" xfId="0" applyNumberFormat="1" applyFont="1" applyBorder="1" applyAlignment="1">
      <alignment/>
    </xf>
    <xf numFmtId="0" fontId="49" fillId="0" borderId="5" xfId="0" applyFont="1" applyBorder="1" applyAlignment="1">
      <alignment/>
    </xf>
    <xf numFmtId="0" fontId="49" fillId="0" borderId="5" xfId="0" applyFont="1" applyBorder="1" applyAlignment="1">
      <alignment/>
    </xf>
    <xf numFmtId="185" fontId="8" fillId="0" borderId="4" xfId="0" applyNumberFormat="1" applyFont="1" applyFill="1" applyBorder="1" applyAlignment="1">
      <alignment/>
    </xf>
    <xf numFmtId="185" fontId="8" fillId="4" borderId="5" xfId="0" applyNumberFormat="1" applyFont="1" applyFill="1" applyBorder="1" applyAlignment="1">
      <alignment/>
    </xf>
    <xf numFmtId="3" fontId="8" fillId="0" borderId="72" xfId="0" applyNumberFormat="1" applyFont="1" applyBorder="1" applyAlignment="1">
      <alignment/>
    </xf>
    <xf numFmtId="3" fontId="49" fillId="0" borderId="73" xfId="0" applyNumberFormat="1" applyFont="1" applyBorder="1" applyAlignment="1">
      <alignment/>
    </xf>
    <xf numFmtId="3" fontId="49" fillId="4" borderId="73" xfId="0" applyNumberFormat="1" applyFont="1" applyFill="1" applyBorder="1" applyAlignment="1">
      <alignment/>
    </xf>
    <xf numFmtId="0" fontId="49" fillId="0" borderId="0" xfId="0" applyFont="1" applyAlignment="1">
      <alignment/>
    </xf>
    <xf numFmtId="3" fontId="49" fillId="0" borderId="12" xfId="0" applyNumberFormat="1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4" fontId="25" fillId="0" borderId="13" xfId="0" applyNumberFormat="1" applyFont="1" applyFill="1" applyBorder="1" applyAlignment="1">
      <alignment/>
    </xf>
    <xf numFmtId="3" fontId="6" fillId="0" borderId="72" xfId="0" applyNumberFormat="1" applyFont="1" applyBorder="1" applyAlignment="1">
      <alignment/>
    </xf>
    <xf numFmtId="192" fontId="8" fillId="0" borderId="13" xfId="0" applyNumberFormat="1" applyFont="1" applyFill="1" applyBorder="1" applyAlignment="1">
      <alignment/>
    </xf>
    <xf numFmtId="186" fontId="9" fillId="7" borderId="25" xfId="0" applyNumberFormat="1" applyFont="1" applyFill="1" applyBorder="1" applyAlignment="1">
      <alignment horizontal="center"/>
    </xf>
    <xf numFmtId="3" fontId="50" fillId="0" borderId="1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0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23" xfId="0" applyNumberFormat="1" applyFont="1" applyBorder="1" applyAlignment="1">
      <alignment/>
    </xf>
    <xf numFmtId="10" fontId="23" fillId="0" borderId="23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49" fillId="0" borderId="13" xfId="0" applyNumberFormat="1" applyFont="1" applyBorder="1" applyAlignment="1">
      <alignment/>
    </xf>
    <xf numFmtId="185" fontId="40" fillId="4" borderId="13" xfId="0" applyNumberFormat="1" applyFont="1" applyFill="1" applyBorder="1" applyAlignment="1">
      <alignment/>
    </xf>
    <xf numFmtId="3" fontId="40" fillId="0" borderId="13" xfId="0" applyNumberFormat="1" applyFont="1" applyBorder="1" applyAlignment="1">
      <alignment/>
    </xf>
    <xf numFmtId="185" fontId="40" fillId="0" borderId="13" xfId="0" applyNumberFormat="1" applyFont="1" applyFill="1" applyBorder="1" applyAlignment="1">
      <alignment/>
    </xf>
    <xf numFmtId="185" fontId="40" fillId="0" borderId="4" xfId="0" applyNumberFormat="1" applyFont="1" applyFill="1" applyBorder="1" applyAlignment="1">
      <alignment/>
    </xf>
    <xf numFmtId="3" fontId="8" fillId="0" borderId="13" xfId="25" applyNumberFormat="1" applyFont="1" applyBorder="1" applyAlignment="1" applyProtection="1">
      <alignment/>
      <protection locked="0"/>
    </xf>
    <xf numFmtId="3" fontId="19" fillId="0" borderId="13" xfId="25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0" fontId="23" fillId="0" borderId="0" xfId="0" applyNumberFormat="1" applyFont="1" applyBorder="1" applyAlignment="1">
      <alignment/>
    </xf>
    <xf numFmtId="0" fontId="31" fillId="2" borderId="0" xfId="0" applyFont="1" applyFill="1" applyAlignment="1">
      <alignment/>
    </xf>
    <xf numFmtId="185" fontId="23" fillId="0" borderId="0" xfId="0" applyNumberFormat="1" applyFont="1" applyAlignment="1">
      <alignment/>
    </xf>
    <xf numFmtId="185" fontId="23" fillId="0" borderId="0" xfId="0" applyNumberFormat="1" applyFont="1" applyBorder="1" applyAlignment="1">
      <alignment/>
    </xf>
    <xf numFmtId="185" fontId="22" fillId="0" borderId="0" xfId="0" applyNumberFormat="1" applyFont="1" applyBorder="1" applyAlignment="1">
      <alignment/>
    </xf>
    <xf numFmtId="185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3" fillId="0" borderId="2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2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3" fontId="52" fillId="0" borderId="23" xfId="0" applyNumberFormat="1" applyFont="1" applyBorder="1" applyAlignment="1">
      <alignment/>
    </xf>
    <xf numFmtId="10" fontId="51" fillId="0" borderId="0" xfId="0" applyNumberFormat="1" applyFont="1" applyAlignment="1">
      <alignment/>
    </xf>
    <xf numFmtId="9" fontId="5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19" fillId="5" borderId="21" xfId="0" applyFont="1" applyFill="1" applyBorder="1" applyAlignment="1">
      <alignment horizontal="right"/>
    </xf>
    <xf numFmtId="0" fontId="19" fillId="5" borderId="4" xfId="0" applyFont="1" applyFill="1" applyBorder="1" applyAlignment="1">
      <alignment/>
    </xf>
    <xf numFmtId="0" fontId="54" fillId="5" borderId="5" xfId="0" applyFont="1" applyFill="1" applyBorder="1" applyAlignment="1">
      <alignment/>
    </xf>
    <xf numFmtId="3" fontId="19" fillId="5" borderId="13" xfId="0" applyNumberFormat="1" applyFont="1" applyFill="1" applyBorder="1" applyAlignment="1">
      <alignment/>
    </xf>
    <xf numFmtId="3" fontId="19" fillId="5" borderId="14" xfId="0" applyNumberFormat="1" applyFont="1" applyFill="1" applyBorder="1" applyAlignment="1">
      <alignment/>
    </xf>
    <xf numFmtId="185" fontId="19" fillId="5" borderId="14" xfId="0" applyNumberFormat="1" applyFont="1" applyFill="1" applyBorder="1" applyAlignment="1">
      <alignment/>
    </xf>
    <xf numFmtId="0" fontId="8" fillId="5" borderId="21" xfId="0" applyFont="1" applyFill="1" applyBorder="1" applyAlignment="1">
      <alignment horizontal="right"/>
    </xf>
    <xf numFmtId="0" fontId="8" fillId="5" borderId="4" xfId="0" applyFont="1" applyFill="1" applyBorder="1" applyAlignment="1">
      <alignment/>
    </xf>
    <xf numFmtId="0" fontId="36" fillId="5" borderId="5" xfId="0" applyFont="1" applyFill="1" applyBorder="1" applyAlignment="1">
      <alignment/>
    </xf>
    <xf numFmtId="3" fontId="8" fillId="5" borderId="13" xfId="21" applyNumberFormat="1" applyFont="1" applyFill="1" applyBorder="1">
      <alignment/>
      <protection/>
    </xf>
    <xf numFmtId="3" fontId="8" fillId="5" borderId="13" xfId="0" applyNumberFormat="1" applyFont="1" applyFill="1" applyBorder="1" applyAlignment="1">
      <alignment/>
    </xf>
    <xf numFmtId="185" fontId="8" fillId="5" borderId="13" xfId="0" applyNumberFormat="1" applyFont="1" applyFill="1" applyBorder="1" applyAlignment="1">
      <alignment/>
    </xf>
    <xf numFmtId="3" fontId="36" fillId="5" borderId="25" xfId="0" applyNumberFormat="1" applyFont="1" applyFill="1" applyBorder="1" applyAlignment="1">
      <alignment/>
    </xf>
    <xf numFmtId="10" fontId="22" fillId="0" borderId="0" xfId="0" applyNumberFormat="1" applyFont="1" applyAlignment="1">
      <alignment/>
    </xf>
  </cellXfs>
  <cellStyles count="12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Navadno_FN02pomesecih" xfId="21"/>
    <cellStyle name="Percent" xfId="22"/>
    <cellStyle name="Total" xfId="23"/>
    <cellStyle name="Currency" xfId="24"/>
    <cellStyle name="Comm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zzscluster\Redir$\dokument\ABARB\bilanca%202003\REAL-PROJ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AL-PROJ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JAN-JUL,PROJ  (2)"/>
      <sheetName val="REALJAN-JUN,PROJ  (2)"/>
    </sheetNames>
    <sheetDataSet>
      <sheetData sheetId="0">
        <row r="213">
          <cell r="AR213">
            <v>224817</v>
          </cell>
        </row>
      </sheetData>
      <sheetData sheetId="1">
        <row r="214">
          <cell r="AR214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JAN-JUN,PROJ  (2)"/>
    </sheetNames>
    <sheetDataSet>
      <sheetData sheetId="0">
        <row r="70">
          <cell r="AR70">
            <v>121696873.43336236</v>
          </cell>
        </row>
        <row r="71">
          <cell r="AR71">
            <v>6954562.007671479</v>
          </cell>
        </row>
        <row r="72">
          <cell r="AR72">
            <v>37336.255402</v>
          </cell>
        </row>
        <row r="76">
          <cell r="AR76">
            <v>125536406.84841247</v>
          </cell>
        </row>
        <row r="77">
          <cell r="AR77">
            <v>11427022.629620565</v>
          </cell>
        </row>
        <row r="78">
          <cell r="AR78">
            <v>5428172.300374337</v>
          </cell>
        </row>
        <row r="82">
          <cell r="AR82">
            <v>1045763.14879044</v>
          </cell>
        </row>
        <row r="83">
          <cell r="AR83">
            <v>117989.925319036</v>
          </cell>
        </row>
        <row r="84">
          <cell r="AR84">
            <v>106268.14745719201</v>
          </cell>
        </row>
        <row r="85">
          <cell r="AR85">
            <v>816846.5398615521</v>
          </cell>
        </row>
        <row r="86">
          <cell r="AR86">
            <v>109830.72398996401</v>
          </cell>
        </row>
        <row r="87">
          <cell r="AR87">
            <v>758840.6831812639</v>
          </cell>
        </row>
        <row r="88">
          <cell r="AR88">
            <v>6959922.639155459</v>
          </cell>
        </row>
        <row r="89">
          <cell r="AR89">
            <v>5553451.751735149</v>
          </cell>
        </row>
        <row r="93">
          <cell r="AR93">
            <v>1645086.6769485523</v>
          </cell>
        </row>
        <row r="94">
          <cell r="AR94">
            <v>178</v>
          </cell>
        </row>
        <row r="95">
          <cell r="AR95">
            <v>893388.619161456</v>
          </cell>
        </row>
        <row r="96">
          <cell r="AR96">
            <v>2472745.734808</v>
          </cell>
        </row>
        <row r="97">
          <cell r="AR97">
            <v>293914.085776</v>
          </cell>
        </row>
        <row r="99">
          <cell r="AR99">
            <v>1646821.808936</v>
          </cell>
        </row>
        <row r="100">
          <cell r="AR100">
            <v>0</v>
          </cell>
        </row>
        <row r="140">
          <cell r="AR140">
            <v>52210</v>
          </cell>
        </row>
        <row r="141">
          <cell r="AR141">
            <v>135159</v>
          </cell>
        </row>
        <row r="148">
          <cell r="AR148">
            <v>71780</v>
          </cell>
        </row>
        <row r="151">
          <cell r="AR151">
            <v>1717623.875</v>
          </cell>
        </row>
        <row r="158">
          <cell r="AR158">
            <v>9536</v>
          </cell>
        </row>
        <row r="159">
          <cell r="AR159">
            <v>2443056</v>
          </cell>
        </row>
        <row r="160">
          <cell r="AR160">
            <v>339583.5</v>
          </cell>
        </row>
        <row r="161">
          <cell r="AR161">
            <v>12756.875</v>
          </cell>
        </row>
        <row r="176">
          <cell r="AR176">
            <v>26035.5</v>
          </cell>
        </row>
        <row r="177">
          <cell r="AR177">
            <v>4500</v>
          </cell>
        </row>
        <row r="178">
          <cell r="AR178">
            <v>1108</v>
          </cell>
        </row>
        <row r="179">
          <cell r="AR179">
            <v>0</v>
          </cell>
        </row>
        <row r="190">
          <cell r="AR190">
            <v>65970</v>
          </cell>
        </row>
        <row r="207">
          <cell r="AR207">
            <v>159114</v>
          </cell>
        </row>
        <row r="209">
          <cell r="AR209">
            <v>2345395</v>
          </cell>
        </row>
        <row r="211">
          <cell r="AR211">
            <v>1550944</v>
          </cell>
        </row>
        <row r="216">
          <cell r="AR216">
            <v>3544001</v>
          </cell>
        </row>
        <row r="222">
          <cell r="AR222">
            <v>59296153</v>
          </cell>
        </row>
        <row r="224">
          <cell r="AR224">
            <v>278798</v>
          </cell>
        </row>
        <row r="226">
          <cell r="AR226">
            <v>2018750</v>
          </cell>
        </row>
        <row r="240">
          <cell r="AR240">
            <v>4189128</v>
          </cell>
        </row>
        <row r="250">
          <cell r="AR250">
            <v>329088.92000000004</v>
          </cell>
        </row>
        <row r="251">
          <cell r="AR251">
            <v>263209.56</v>
          </cell>
        </row>
        <row r="252">
          <cell r="AR252">
            <v>2191.36</v>
          </cell>
        </row>
        <row r="253">
          <cell r="AR253">
            <v>3613.88</v>
          </cell>
        </row>
        <row r="255">
          <cell r="AR255">
            <v>4584023.25</v>
          </cell>
        </row>
        <row r="286">
          <cell r="AR286">
            <v>574226</v>
          </cell>
        </row>
        <row r="333">
          <cell r="AR333">
            <v>23252276.390047997</v>
          </cell>
        </row>
        <row r="334">
          <cell r="AR334">
            <v>4036883.67648</v>
          </cell>
        </row>
        <row r="337">
          <cell r="AR337">
            <v>10956866.477264</v>
          </cell>
        </row>
        <row r="338">
          <cell r="AR338">
            <v>744923.7512480001</v>
          </cell>
        </row>
        <row r="344">
          <cell r="AR344">
            <v>388710.9</v>
          </cell>
        </row>
        <row r="345">
          <cell r="AR345">
            <v>2294443.586</v>
          </cell>
        </row>
        <row r="346">
          <cell r="AR346">
            <v>50052.348</v>
          </cell>
        </row>
        <row r="347">
          <cell r="AR347">
            <v>290000</v>
          </cell>
        </row>
        <row r="350">
          <cell r="AR350">
            <v>1065276</v>
          </cell>
        </row>
        <row r="358">
          <cell r="AR358">
            <v>443460.87512</v>
          </cell>
        </row>
        <row r="360">
          <cell r="AR360">
            <v>353991.800128</v>
          </cell>
        </row>
        <row r="376">
          <cell r="AR376">
            <v>40588222</v>
          </cell>
        </row>
        <row r="377">
          <cell r="AR377">
            <v>70729636</v>
          </cell>
        </row>
        <row r="378">
          <cell r="AR378">
            <v>2066327</v>
          </cell>
        </row>
        <row r="379">
          <cell r="AR379">
            <v>3557824</v>
          </cell>
        </row>
        <row r="380">
          <cell r="AR380">
            <v>11857689</v>
          </cell>
        </row>
        <row r="390">
          <cell r="AR390">
            <v>8844455</v>
          </cell>
        </row>
        <row r="391">
          <cell r="AR391">
            <v>15268278</v>
          </cell>
        </row>
        <row r="392">
          <cell r="AR392">
            <v>406724</v>
          </cell>
        </row>
        <row r="393">
          <cell r="AR393">
            <v>773611</v>
          </cell>
        </row>
        <row r="394">
          <cell r="AR394">
            <v>2525751</v>
          </cell>
        </row>
        <row r="405">
          <cell r="AR405">
            <v>19081869.507473666</v>
          </cell>
        </row>
        <row r="406">
          <cell r="AR406">
            <v>79717247.8822186</v>
          </cell>
        </row>
        <row r="407">
          <cell r="AR407">
            <v>1839040.774230476</v>
          </cell>
        </row>
        <row r="408">
          <cell r="AR408">
            <v>1055744.2471780619</v>
          </cell>
        </row>
        <row r="409">
          <cell r="AR409">
            <v>3072604.138651035</v>
          </cell>
        </row>
        <row r="410">
          <cell r="AR410">
            <v>667855.8401579355</v>
          </cell>
        </row>
        <row r="412">
          <cell r="AR412">
            <v>51141608.639651954</v>
          </cell>
        </row>
        <row r="415">
          <cell r="AR415">
            <v>10040580.345581999</v>
          </cell>
        </row>
        <row r="416">
          <cell r="AR416">
            <v>0</v>
          </cell>
        </row>
        <row r="417">
          <cell r="AR417">
            <v>2465830</v>
          </cell>
        </row>
        <row r="420">
          <cell r="AR420">
            <v>2677.841088</v>
          </cell>
        </row>
        <row r="422">
          <cell r="AR422">
            <v>5042.893951999999</v>
          </cell>
        </row>
        <row r="432">
          <cell r="AR432">
            <v>559707</v>
          </cell>
        </row>
        <row r="433">
          <cell r="AR433">
            <v>2380400</v>
          </cell>
        </row>
        <row r="439">
          <cell r="AR439">
            <v>1123077</v>
          </cell>
        </row>
        <row r="491">
          <cell r="AR491">
            <v>7007</v>
          </cell>
        </row>
        <row r="500">
          <cell r="AR500">
            <v>0</v>
          </cell>
        </row>
        <row r="509">
          <cell r="AR509">
            <v>0</v>
          </cell>
        </row>
        <row r="519">
          <cell r="AR519">
            <v>0</v>
          </cell>
        </row>
        <row r="550">
          <cell r="AR550">
            <v>249073000</v>
          </cell>
        </row>
        <row r="567">
          <cell r="AR567">
            <v>233393000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575"/>
  <sheetViews>
    <sheetView tabSelected="1" zoomScale="70" zoomScaleNormal="70" workbookViewId="0" topLeftCell="A20">
      <pane xSplit="9" ySplit="5" topLeftCell="J426" activePane="bottomRight" state="frozen"/>
      <selection pane="topLeft" activeCell="A20" sqref="A20"/>
      <selection pane="topRight" activeCell="J20" sqref="J20"/>
      <selection pane="bottomLeft" activeCell="A25" sqref="A25"/>
      <selection pane="bottomRight" activeCell="O426" sqref="O426"/>
    </sheetView>
  </sheetViews>
  <sheetFormatPr defaultColWidth="9.140625" defaultRowHeight="12.75"/>
  <cols>
    <col min="1" max="1" width="2.7109375" style="1" customWidth="1"/>
    <col min="2" max="2" width="13.57421875" style="1" customWidth="1"/>
    <col min="3" max="3" width="3.140625" style="1" customWidth="1"/>
    <col min="4" max="4" width="77.28125" style="1" customWidth="1"/>
    <col min="5" max="5" width="18.140625" style="1" hidden="1" customWidth="1"/>
    <col min="6" max="6" width="16.00390625" style="1" hidden="1" customWidth="1"/>
    <col min="7" max="8" width="9.28125" style="1" hidden="1" customWidth="1"/>
    <col min="9" max="9" width="18.57421875" style="1" hidden="1" customWidth="1"/>
    <col min="10" max="10" width="20.8515625" style="1" customWidth="1"/>
    <col min="11" max="11" width="10.28125" style="1" customWidth="1"/>
    <col min="12" max="12" width="11.00390625" style="1" customWidth="1"/>
    <col min="13" max="13" width="20.421875" style="1" customWidth="1"/>
    <col min="14" max="14" width="10.00390625" style="1" customWidth="1"/>
    <col min="15" max="15" width="9.00390625" style="1" customWidth="1"/>
    <col min="16" max="16" width="10.28125" style="1" customWidth="1"/>
    <col min="17" max="17" width="15.140625" style="1" customWidth="1"/>
    <col min="18" max="18" width="10.28125" style="1" customWidth="1"/>
    <col min="19" max="19" width="13.57421875" style="1" customWidth="1"/>
    <col min="20" max="20" width="10.28125" style="1" customWidth="1"/>
    <col min="21" max="22" width="11.8515625" style="1" customWidth="1"/>
    <col min="23" max="24" width="10.28125" style="1" customWidth="1"/>
    <col min="25" max="26" width="12.8515625" style="1" customWidth="1"/>
    <col min="27" max="27" width="17.57421875" style="1" customWidth="1"/>
    <col min="28" max="28" width="14.28125" style="1" customWidth="1"/>
    <col min="29" max="16384" width="10.28125" style="1" customWidth="1"/>
  </cols>
  <sheetData>
    <row r="1" spans="1:20" ht="29.25" customHeight="1">
      <c r="A1" s="1">
        <v>1</v>
      </c>
      <c r="B1" s="41"/>
      <c r="C1" s="130"/>
      <c r="E1" s="130"/>
      <c r="F1" s="44"/>
      <c r="G1" s="44"/>
      <c r="H1" s="44"/>
      <c r="I1" s="44"/>
      <c r="J1" s="44"/>
      <c r="K1" s="44"/>
      <c r="L1" s="44"/>
      <c r="M1" s="44"/>
      <c r="N1" s="44"/>
      <c r="O1" s="44"/>
      <c r="P1" s="130"/>
      <c r="Q1" s="130"/>
      <c r="R1" s="130"/>
      <c r="S1" s="130"/>
      <c r="T1" s="130"/>
    </row>
    <row r="2" spans="2:20" ht="9.7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33.75">
      <c r="B3" s="325" t="s">
        <v>0</v>
      </c>
      <c r="C3" s="132"/>
      <c r="D3" s="135"/>
      <c r="E3" s="132"/>
      <c r="F3" s="132"/>
      <c r="G3" s="132"/>
      <c r="H3" s="132"/>
      <c r="I3" s="132"/>
      <c r="J3" s="294"/>
      <c r="K3" s="294"/>
      <c r="L3" s="294"/>
      <c r="M3" s="132"/>
      <c r="N3" s="447" t="s">
        <v>1</v>
      </c>
      <c r="O3" s="132"/>
      <c r="P3" s="133"/>
      <c r="Q3" s="133"/>
      <c r="R3" s="133"/>
      <c r="S3" s="133"/>
      <c r="T3" s="133"/>
    </row>
    <row r="4" spans="2:20" ht="33.75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133"/>
      <c r="R4" s="133"/>
      <c r="S4" s="133"/>
      <c r="T4" s="133"/>
    </row>
    <row r="5" spans="2:20" ht="30" customHeight="1" hidden="1">
      <c r="B5" s="134" t="s">
        <v>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3"/>
      <c r="Q5" s="133"/>
      <c r="R5" s="133"/>
      <c r="S5" s="133"/>
      <c r="T5" s="133"/>
    </row>
    <row r="6" spans="2:20" ht="30" customHeight="1" hidden="1">
      <c r="B6" s="134" t="s">
        <v>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3"/>
      <c r="Q6" s="133"/>
      <c r="R6" s="133"/>
      <c r="S6" s="133"/>
      <c r="T6" s="133"/>
    </row>
    <row r="7" spans="2:20" ht="29.25">
      <c r="B7" s="393" t="s">
        <v>4</v>
      </c>
      <c r="C7" s="135"/>
      <c r="D7" s="377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3"/>
      <c r="Q7" s="133"/>
      <c r="R7" s="133"/>
      <c r="S7" s="133"/>
      <c r="T7" s="133"/>
    </row>
    <row r="8" spans="2:20" s="42" customFormat="1" ht="26.25">
      <c r="B8" s="393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/>
      <c r="Q8" s="137"/>
      <c r="R8" s="137"/>
      <c r="S8" s="137"/>
      <c r="T8" s="137"/>
    </row>
    <row r="9" spans="2:20" ht="19.5" customHeight="1">
      <c r="B9" s="138" t="s">
        <v>5</v>
      </c>
      <c r="C9" s="133"/>
      <c r="D9" s="133" t="s">
        <v>5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</row>
    <row r="10" spans="2:20" ht="26.25" customHeight="1" hidden="1">
      <c r="B10" s="139" t="s">
        <v>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3"/>
      <c r="Q10" s="133"/>
      <c r="R10" s="133"/>
      <c r="S10" s="133"/>
      <c r="T10" s="133"/>
    </row>
    <row r="11" spans="2:20" ht="15" customHeight="1">
      <c r="B11" s="140" t="s">
        <v>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30"/>
      <c r="Q11" s="130"/>
      <c r="R11" s="130"/>
      <c r="S11" s="130"/>
      <c r="T11" s="130"/>
    </row>
    <row r="12" spans="2:20" ht="27.75" customHeight="1">
      <c r="B12" s="305"/>
      <c r="C12" s="305" t="s">
        <v>7</v>
      </c>
      <c r="D12" s="143"/>
      <c r="E12" s="33"/>
      <c r="F12" s="33"/>
      <c r="G12" s="33"/>
      <c r="H12" s="33"/>
      <c r="I12" s="95"/>
      <c r="J12" s="95"/>
      <c r="K12" s="33"/>
      <c r="L12" s="33"/>
      <c r="M12" s="33"/>
      <c r="N12" s="33"/>
      <c r="O12" s="33"/>
      <c r="P12" s="130"/>
      <c r="Q12" s="130"/>
      <c r="R12" s="130"/>
      <c r="S12" s="130"/>
      <c r="T12" s="130"/>
    </row>
    <row r="13" spans="2:20" ht="26.25" customHeight="1" hidden="1">
      <c r="B13" s="26" t="s">
        <v>8</v>
      </c>
      <c r="C13" s="142"/>
      <c r="D13" s="14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30"/>
      <c r="Q13" s="130"/>
      <c r="R13" s="130"/>
      <c r="S13" s="130"/>
      <c r="T13" s="130"/>
    </row>
    <row r="14" spans="2:20" ht="24.75" customHeight="1" hidden="1" thickBot="1">
      <c r="B14" s="144" t="s">
        <v>5</v>
      </c>
      <c r="C14" s="144"/>
      <c r="D14" s="14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30"/>
      <c r="Q14" s="130"/>
      <c r="R14" s="130"/>
      <c r="S14" s="130"/>
      <c r="T14" s="130"/>
    </row>
    <row r="15" spans="1:20" ht="20.25" customHeight="1" hidden="1" thickTop="1">
      <c r="A15" s="2"/>
      <c r="B15" s="145"/>
      <c r="C15" s="146"/>
      <c r="D15" s="147"/>
      <c r="E15" s="35"/>
      <c r="F15" s="35" t="e">
        <f>+#REF!</f>
        <v>#REF!</v>
      </c>
      <c r="G15" s="36" t="e">
        <f>+#REF!</f>
        <v>#REF!</v>
      </c>
      <c r="H15" s="36" t="e">
        <f>+#REF!</f>
        <v>#REF!</v>
      </c>
      <c r="I15" s="36" t="s">
        <v>9</v>
      </c>
      <c r="J15" s="35" t="e">
        <f>+F15</f>
        <v>#REF!</v>
      </c>
      <c r="K15" s="36"/>
      <c r="L15" s="36" t="e">
        <f>+G15</f>
        <v>#REF!</v>
      </c>
      <c r="M15" s="35" t="e">
        <f>+J15</f>
        <v>#REF!</v>
      </c>
      <c r="N15" s="36" t="e">
        <f>+L15</f>
        <v>#REF!</v>
      </c>
      <c r="O15" s="36" t="e">
        <f>+#REF!</f>
        <v>#REF!</v>
      </c>
      <c r="P15" s="130"/>
      <c r="Q15" s="130"/>
      <c r="R15" s="130"/>
      <c r="S15" s="130"/>
      <c r="T15" s="130"/>
    </row>
    <row r="16" spans="1:20" ht="18.75" customHeight="1" hidden="1">
      <c r="A16" s="2"/>
      <c r="B16" s="148"/>
      <c r="C16" s="149"/>
      <c r="D16" s="150"/>
      <c r="E16" s="23"/>
      <c r="F16" s="23"/>
      <c r="G16" s="37" t="e">
        <f>+#REF!</f>
        <v>#REF!</v>
      </c>
      <c r="H16" s="37" t="e">
        <f>+#REF!</f>
        <v>#REF!</v>
      </c>
      <c r="I16" s="37"/>
      <c r="J16" s="23"/>
      <c r="K16" s="37"/>
      <c r="L16" s="37" t="e">
        <f>+G16</f>
        <v>#REF!</v>
      </c>
      <c r="M16" s="23"/>
      <c r="N16" s="37" t="e">
        <f>+L16</f>
        <v>#REF!</v>
      </c>
      <c r="O16" s="37" t="e">
        <f>+#REF!</f>
        <v>#REF!</v>
      </c>
      <c r="P16" s="130"/>
      <c r="Q16" s="130"/>
      <c r="R16" s="130"/>
      <c r="S16" s="130"/>
      <c r="T16" s="130"/>
    </row>
    <row r="17" spans="1:20" ht="20.25" customHeight="1" hidden="1">
      <c r="A17" s="2"/>
      <c r="B17" s="22" t="s">
        <v>10</v>
      </c>
      <c r="C17" s="149"/>
      <c r="D17" s="150"/>
      <c r="E17" s="24"/>
      <c r="F17" s="24" t="s">
        <v>11</v>
      </c>
      <c r="G17" s="37" t="s">
        <v>12</v>
      </c>
      <c r="H17" s="37" t="s">
        <v>12</v>
      </c>
      <c r="I17" s="37" t="s">
        <v>13</v>
      </c>
      <c r="J17" s="24" t="s">
        <v>13</v>
      </c>
      <c r="K17" s="37"/>
      <c r="L17" s="37" t="s">
        <v>14</v>
      </c>
      <c r="M17" s="24" t="s">
        <v>15</v>
      </c>
      <c r="N17" s="37" t="s">
        <v>16</v>
      </c>
      <c r="O17" s="37" t="s">
        <v>16</v>
      </c>
      <c r="P17" s="130"/>
      <c r="Q17" s="130"/>
      <c r="R17" s="130"/>
      <c r="S17" s="130"/>
      <c r="T17" s="130"/>
    </row>
    <row r="18" spans="1:20" ht="13.5" customHeight="1" hidden="1" thickBot="1">
      <c r="A18" s="2"/>
      <c r="B18" s="151"/>
      <c r="C18" s="152"/>
      <c r="D18" s="153"/>
      <c r="E18" s="154"/>
      <c r="F18" s="154"/>
      <c r="G18" s="38">
        <v>2001</v>
      </c>
      <c r="H18" s="38">
        <v>2001</v>
      </c>
      <c r="I18" s="38"/>
      <c r="J18" s="154"/>
      <c r="K18" s="38"/>
      <c r="L18" s="38">
        <v>2002</v>
      </c>
      <c r="M18" s="154"/>
      <c r="N18" s="38">
        <v>2003</v>
      </c>
      <c r="O18" s="38">
        <v>2003</v>
      </c>
      <c r="P18" s="130"/>
      <c r="Q18" s="130"/>
      <c r="R18" s="130"/>
      <c r="S18" s="130"/>
      <c r="T18" s="130"/>
    </row>
    <row r="19" spans="1:20" ht="13.5" customHeight="1" hidden="1" thickTop="1">
      <c r="A19" s="2"/>
      <c r="B19" s="155" t="s">
        <v>5</v>
      </c>
      <c r="C19" s="156"/>
      <c r="D19" s="147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30"/>
      <c r="Q19" s="130"/>
      <c r="R19" s="130"/>
      <c r="S19" s="130"/>
      <c r="T19" s="130"/>
    </row>
    <row r="20" spans="2:20" ht="18" customHeight="1" thickBot="1">
      <c r="B20" s="131" t="s">
        <v>5</v>
      </c>
      <c r="C20" s="131"/>
      <c r="D20" s="35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30"/>
      <c r="Q20" s="130"/>
      <c r="R20" s="130"/>
      <c r="S20" s="130"/>
      <c r="T20" s="130"/>
    </row>
    <row r="21" spans="1:20" ht="60" customHeight="1" thickTop="1">
      <c r="A21" s="83"/>
      <c r="B21" s="313"/>
      <c r="C21" s="314"/>
      <c r="D21" s="349"/>
      <c r="E21" s="362" t="s">
        <v>17</v>
      </c>
      <c r="F21" s="316"/>
      <c r="G21" s="315"/>
      <c r="H21" s="315"/>
      <c r="I21" s="362" t="s">
        <v>18</v>
      </c>
      <c r="J21" s="370" t="s">
        <v>19</v>
      </c>
      <c r="K21" s="365" t="s">
        <v>20</v>
      </c>
      <c r="L21" s="365" t="s">
        <v>21</v>
      </c>
      <c r="M21" s="362" t="s">
        <v>22</v>
      </c>
      <c r="N21" s="315"/>
      <c r="O21" s="315" t="s">
        <v>23</v>
      </c>
      <c r="P21" s="130"/>
      <c r="Q21" s="130"/>
      <c r="R21" s="130"/>
      <c r="S21" s="130"/>
      <c r="T21" s="130"/>
    </row>
    <row r="22" spans="1:20" ht="13.5" customHeight="1">
      <c r="A22" s="84"/>
      <c r="B22" s="298"/>
      <c r="C22" s="299"/>
      <c r="D22" s="348"/>
      <c r="E22" s="363"/>
      <c r="F22" s="259"/>
      <c r="G22" s="258"/>
      <c r="H22" s="258"/>
      <c r="I22" s="363"/>
      <c r="J22" s="371">
        <v>2003</v>
      </c>
      <c r="K22" s="366"/>
      <c r="L22" s="366"/>
      <c r="M22" s="405">
        <v>2004</v>
      </c>
      <c r="N22" s="258" t="s">
        <v>25</v>
      </c>
      <c r="O22" s="258" t="s">
        <v>26</v>
      </c>
      <c r="P22" s="130"/>
      <c r="Q22" s="130"/>
      <c r="R22" s="130"/>
      <c r="S22" s="130"/>
      <c r="T22" s="130"/>
    </row>
    <row r="23" spans="1:20" ht="18" customHeight="1">
      <c r="A23" s="84"/>
      <c r="B23" s="300" t="s">
        <v>10</v>
      </c>
      <c r="C23" s="299"/>
      <c r="D23" s="348"/>
      <c r="E23" s="363"/>
      <c r="F23" s="259"/>
      <c r="G23" s="258"/>
      <c r="H23" s="258"/>
      <c r="I23" s="363"/>
      <c r="J23" s="363"/>
      <c r="K23" s="366"/>
      <c r="L23" s="366"/>
      <c r="M23" s="363"/>
      <c r="N23" s="258" t="s">
        <v>16</v>
      </c>
      <c r="O23" s="258" t="s">
        <v>16</v>
      </c>
      <c r="P23" s="130"/>
      <c r="Q23" s="130"/>
      <c r="R23" s="130"/>
      <c r="S23" s="130"/>
      <c r="T23" s="130"/>
    </row>
    <row r="24" spans="1:20" ht="15" customHeight="1" thickBot="1">
      <c r="A24" s="84"/>
      <c r="B24" s="301"/>
      <c r="C24" s="302"/>
      <c r="D24" s="350"/>
      <c r="E24" s="364"/>
      <c r="F24" s="260"/>
      <c r="G24" s="261"/>
      <c r="H24" s="261"/>
      <c r="I24" s="364"/>
      <c r="J24" s="364"/>
      <c r="K24" s="367"/>
      <c r="L24" s="367"/>
      <c r="M24" s="364"/>
      <c r="N24" s="261">
        <v>2003</v>
      </c>
      <c r="O24" s="261">
        <v>2003</v>
      </c>
      <c r="P24" s="130"/>
      <c r="Q24" s="130"/>
      <c r="R24" s="130"/>
      <c r="S24" s="130"/>
      <c r="T24" s="130"/>
    </row>
    <row r="25" spans="1:20" ht="15" customHeight="1" thickTop="1">
      <c r="A25" s="84"/>
      <c r="B25" s="157" t="s">
        <v>5</v>
      </c>
      <c r="C25" s="156"/>
      <c r="D25" s="147"/>
      <c r="E25" s="158">
        <v>1</v>
      </c>
      <c r="F25" s="158">
        <v>2</v>
      </c>
      <c r="G25" s="158" t="s">
        <v>28</v>
      </c>
      <c r="H25" s="158"/>
      <c r="I25" s="158">
        <v>2</v>
      </c>
      <c r="J25" s="158">
        <v>2</v>
      </c>
      <c r="K25" s="159" t="s">
        <v>28</v>
      </c>
      <c r="L25" s="159">
        <v>4</v>
      </c>
      <c r="M25" s="158">
        <v>5</v>
      </c>
      <c r="N25" s="159" t="s">
        <v>29</v>
      </c>
      <c r="O25" s="158">
        <v>7</v>
      </c>
      <c r="P25" s="130"/>
      <c r="Q25" s="130"/>
      <c r="R25" s="130"/>
      <c r="S25" s="130"/>
      <c r="T25" s="130"/>
    </row>
    <row r="26" spans="1:20" ht="18">
      <c r="A26" s="84"/>
      <c r="B26" s="296"/>
      <c r="C26" s="297" t="s">
        <v>30</v>
      </c>
      <c r="D26" s="290"/>
      <c r="E26" s="277"/>
      <c r="F26" s="277"/>
      <c r="G26" s="277"/>
      <c r="H26" s="278">
        <v>106.4</v>
      </c>
      <c r="I26" s="278"/>
      <c r="J26" s="279"/>
      <c r="K26" s="333"/>
      <c r="L26" s="427">
        <v>105.8</v>
      </c>
      <c r="M26" s="279"/>
      <c r="N26" s="279"/>
      <c r="O26" s="278">
        <v>104.9</v>
      </c>
      <c r="P26" s="130"/>
      <c r="Q26" s="130"/>
      <c r="R26" s="130"/>
      <c r="S26" s="130"/>
      <c r="T26" s="130"/>
    </row>
    <row r="27" spans="1:20" ht="14.25">
      <c r="A27" s="84"/>
      <c r="B27" s="160"/>
      <c r="C27" s="295"/>
      <c r="D27" s="289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30"/>
      <c r="Q27" s="130"/>
      <c r="R27" s="130"/>
      <c r="S27" s="130"/>
      <c r="T27" s="130"/>
    </row>
    <row r="28" spans="1:20" ht="14.25">
      <c r="A28" s="84"/>
      <c r="B28" s="162"/>
      <c r="C28" s="71"/>
      <c r="D28" s="280" t="s">
        <v>31</v>
      </c>
      <c r="E28" s="281">
        <v>1</v>
      </c>
      <c r="F28" s="282">
        <v>1.031</v>
      </c>
      <c r="G28" s="281"/>
      <c r="H28" s="281"/>
      <c r="I28" s="282"/>
      <c r="J28" s="281"/>
      <c r="K28" s="281"/>
      <c r="L28" s="281"/>
      <c r="M28" s="281"/>
      <c r="N28" s="281"/>
      <c r="O28" s="281"/>
      <c r="P28" s="130"/>
      <c r="Q28" s="130"/>
      <c r="R28" s="130"/>
      <c r="S28" s="130"/>
      <c r="T28" s="130"/>
    </row>
    <row r="29" spans="1:20" ht="15.75">
      <c r="A29" s="84"/>
      <c r="B29" s="162"/>
      <c r="C29" s="163"/>
      <c r="D29" s="291" t="s">
        <v>32</v>
      </c>
      <c r="E29" s="292">
        <v>107.5</v>
      </c>
      <c r="F29" s="292">
        <f>+H26</f>
        <v>106.4</v>
      </c>
      <c r="G29" s="292"/>
      <c r="H29" s="292"/>
      <c r="I29" s="292">
        <v>105.1</v>
      </c>
      <c r="J29" s="292">
        <v>105.8</v>
      </c>
      <c r="K29" s="292"/>
      <c r="L29" s="292"/>
      <c r="M29" s="292">
        <v>104.9</v>
      </c>
      <c r="N29" s="292"/>
      <c r="O29" s="292"/>
      <c r="P29" s="130"/>
      <c r="Q29" s="130"/>
      <c r="R29" s="130"/>
      <c r="S29" s="130"/>
      <c r="T29" s="130"/>
    </row>
    <row r="30" spans="1:20" ht="15">
      <c r="A30" s="84"/>
      <c r="B30" s="162"/>
      <c r="C30" s="163"/>
      <c r="D30" s="283" t="s">
        <v>33</v>
      </c>
      <c r="E30" s="284">
        <v>110.1</v>
      </c>
      <c r="F30" s="284">
        <v>110.2</v>
      </c>
      <c r="G30" s="284"/>
      <c r="H30" s="284"/>
      <c r="I30" s="284">
        <v>109.1</v>
      </c>
      <c r="J30" s="284">
        <v>108.5</v>
      </c>
      <c r="K30" s="284"/>
      <c r="L30" s="284"/>
      <c r="M30" s="284">
        <v>108</v>
      </c>
      <c r="N30" s="284"/>
      <c r="O30" s="284"/>
      <c r="P30" s="130"/>
      <c r="Q30" s="130"/>
      <c r="R30" s="130"/>
      <c r="S30" s="130"/>
      <c r="T30" s="130"/>
    </row>
    <row r="31" spans="1:20" ht="15">
      <c r="A31" s="84"/>
      <c r="B31" s="162"/>
      <c r="C31" s="163"/>
      <c r="D31" s="283" t="s">
        <v>34</v>
      </c>
      <c r="E31" s="284">
        <v>109.6</v>
      </c>
      <c r="F31" s="284">
        <v>109.1</v>
      </c>
      <c r="G31" s="284"/>
      <c r="H31" s="284"/>
      <c r="I31" s="284">
        <v>107.2</v>
      </c>
      <c r="J31" s="284">
        <v>107.5</v>
      </c>
      <c r="K31" s="284"/>
      <c r="L31" s="284"/>
      <c r="M31" s="284">
        <v>107</v>
      </c>
      <c r="N31" s="284"/>
      <c r="O31" s="284"/>
      <c r="P31" s="130"/>
      <c r="Q31" s="130"/>
      <c r="R31" s="130"/>
      <c r="S31" s="130"/>
      <c r="T31" s="130"/>
    </row>
    <row r="32" spans="1:20" ht="15">
      <c r="A32" s="84"/>
      <c r="B32" s="162"/>
      <c r="C32" s="163"/>
      <c r="D32" s="283" t="s">
        <v>35</v>
      </c>
      <c r="E32" s="284">
        <v>2</v>
      </c>
      <c r="F32" s="284">
        <v>2.5</v>
      </c>
      <c r="G32" s="284"/>
      <c r="H32" s="284"/>
      <c r="I32" s="284">
        <v>2</v>
      </c>
      <c r="J32" s="284">
        <v>2</v>
      </c>
      <c r="K32" s="284"/>
      <c r="L32" s="284"/>
      <c r="M32" s="284">
        <v>2</v>
      </c>
      <c r="N32" s="284"/>
      <c r="O32" s="284"/>
      <c r="P32" s="130"/>
      <c r="Q32" s="130"/>
      <c r="R32" s="130"/>
      <c r="S32" s="130"/>
      <c r="T32" s="130"/>
    </row>
    <row r="33" spans="1:20" ht="15">
      <c r="A33" s="84"/>
      <c r="B33" s="162"/>
      <c r="C33" s="163"/>
      <c r="D33" s="283" t="s">
        <v>36</v>
      </c>
      <c r="E33" s="284">
        <v>103.3</v>
      </c>
      <c r="F33" s="284">
        <v>104.3</v>
      </c>
      <c r="G33" s="284"/>
      <c r="H33" s="284"/>
      <c r="I33" s="284">
        <v>105.2</v>
      </c>
      <c r="J33" s="284">
        <v>105.9</v>
      </c>
      <c r="K33" s="284"/>
      <c r="L33" s="284"/>
      <c r="M33" s="284">
        <v>103.13</v>
      </c>
      <c r="N33" s="284"/>
      <c r="O33" s="284"/>
      <c r="P33" s="130"/>
      <c r="Q33" s="130"/>
      <c r="R33" s="130"/>
      <c r="S33" s="130"/>
      <c r="T33" s="130"/>
    </row>
    <row r="34" spans="1:20" ht="15" customHeight="1" hidden="1">
      <c r="A34" s="84"/>
      <c r="B34" s="162"/>
      <c r="C34" s="163"/>
      <c r="D34" s="283" t="s">
        <v>37</v>
      </c>
      <c r="E34" s="284"/>
      <c r="F34" s="284">
        <v>2</v>
      </c>
      <c r="G34" s="281"/>
      <c r="H34" s="281"/>
      <c r="I34" s="284">
        <v>2.5</v>
      </c>
      <c r="J34" s="285">
        <v>2.5</v>
      </c>
      <c r="K34" s="281"/>
      <c r="L34" s="281"/>
      <c r="M34" s="285">
        <v>2.5</v>
      </c>
      <c r="N34" s="281"/>
      <c r="O34" s="281"/>
      <c r="P34" s="130"/>
      <c r="Q34" s="130"/>
      <c r="R34" s="130"/>
      <c r="S34" s="130"/>
      <c r="T34" s="130"/>
    </row>
    <row r="35" spans="1:20" ht="15">
      <c r="A35" s="84"/>
      <c r="B35" s="162"/>
      <c r="C35" s="163"/>
      <c r="D35" s="280" t="s">
        <v>38</v>
      </c>
      <c r="E35" s="285">
        <v>0.4</v>
      </c>
      <c r="F35" s="284">
        <v>1</v>
      </c>
      <c r="G35" s="284"/>
      <c r="H35" s="284"/>
      <c r="I35" s="284">
        <v>1.3</v>
      </c>
      <c r="J35" s="284">
        <v>0.9</v>
      </c>
      <c r="K35" s="284"/>
      <c r="L35" s="284"/>
      <c r="M35" s="284">
        <v>0.9</v>
      </c>
      <c r="N35" s="284"/>
      <c r="O35" s="284"/>
      <c r="P35" s="130"/>
      <c r="Q35" s="130"/>
      <c r="R35" s="130"/>
      <c r="S35" s="130"/>
      <c r="T35" s="130"/>
    </row>
    <row r="36" spans="1:20" ht="15">
      <c r="A36" s="84"/>
      <c r="B36" s="162"/>
      <c r="C36" s="163"/>
      <c r="D36" s="280" t="s">
        <v>39</v>
      </c>
      <c r="E36" s="285">
        <v>0.7</v>
      </c>
      <c r="F36" s="284">
        <v>-2.5</v>
      </c>
      <c r="G36" s="284"/>
      <c r="H36" s="284"/>
      <c r="I36" s="284">
        <v>-3.7</v>
      </c>
      <c r="J36" s="284">
        <v>-7.9</v>
      </c>
      <c r="K36" s="284"/>
      <c r="L36" s="284"/>
      <c r="M36" s="284">
        <v>-4.3</v>
      </c>
      <c r="N36" s="284"/>
      <c r="O36" s="284"/>
      <c r="P36" s="130"/>
      <c r="Q36" s="130"/>
      <c r="R36" s="130"/>
      <c r="S36" s="130"/>
      <c r="T36" s="130"/>
    </row>
    <row r="37" spans="1:20" ht="15">
      <c r="A37" s="84"/>
      <c r="B37" s="162"/>
      <c r="C37" s="163"/>
      <c r="D37" s="280" t="s">
        <v>40</v>
      </c>
      <c r="E37" s="368">
        <v>0</v>
      </c>
      <c r="F37" s="368">
        <v>0.5</v>
      </c>
      <c r="G37" s="369"/>
      <c r="H37" s="369"/>
      <c r="I37" s="368">
        <v>0</v>
      </c>
      <c r="J37" s="368">
        <v>0</v>
      </c>
      <c r="K37" s="369"/>
      <c r="L37" s="369"/>
      <c r="M37" s="368">
        <v>0</v>
      </c>
      <c r="N37" s="369"/>
      <c r="O37" s="369"/>
      <c r="P37" s="130"/>
      <c r="Q37" s="130"/>
      <c r="R37" s="130"/>
      <c r="S37" s="130"/>
      <c r="T37" s="130"/>
    </row>
    <row r="38" spans="1:20" ht="15">
      <c r="A38" s="84"/>
      <c r="B38" s="162"/>
      <c r="C38" s="163"/>
      <c r="D38" s="280" t="s">
        <v>41</v>
      </c>
      <c r="E38" s="287">
        <v>1.8</v>
      </c>
      <c r="F38" s="287">
        <v>3</v>
      </c>
      <c r="G38" s="288"/>
      <c r="H38" s="288"/>
      <c r="I38" s="287">
        <v>3.5</v>
      </c>
      <c r="J38" s="287">
        <v>2.3</v>
      </c>
      <c r="K38" s="288"/>
      <c r="L38" s="288"/>
      <c r="M38" s="287">
        <v>3.3</v>
      </c>
      <c r="N38" s="288"/>
      <c r="O38" s="288"/>
      <c r="P38" s="130"/>
      <c r="Q38" s="130"/>
      <c r="R38" s="130"/>
      <c r="S38" s="130"/>
      <c r="T38" s="130"/>
    </row>
    <row r="39" spans="1:20" ht="15">
      <c r="A39" s="84"/>
      <c r="B39" s="164"/>
      <c r="C39" s="165"/>
      <c r="D39" s="283" t="s">
        <v>42</v>
      </c>
      <c r="E39" s="287">
        <f>+E29</f>
        <v>107.5</v>
      </c>
      <c r="F39" s="287">
        <f>+F29</f>
        <v>106.4</v>
      </c>
      <c r="G39" s="288"/>
      <c r="H39" s="288"/>
      <c r="I39" s="287">
        <v>105.1</v>
      </c>
      <c r="J39" s="287">
        <f>+J29</f>
        <v>105.8</v>
      </c>
      <c r="K39" s="288"/>
      <c r="L39" s="288"/>
      <c r="M39" s="287">
        <f>+M29</f>
        <v>104.9</v>
      </c>
      <c r="N39" s="288"/>
      <c r="O39" s="288"/>
      <c r="P39" s="130"/>
      <c r="Q39" s="130"/>
      <c r="R39" s="130"/>
      <c r="S39" s="130"/>
      <c r="T39" s="130"/>
    </row>
    <row r="40" spans="1:20" ht="15">
      <c r="A40" s="84"/>
      <c r="B40" s="164"/>
      <c r="C40" s="163"/>
      <c r="D40" s="280" t="s">
        <v>43</v>
      </c>
      <c r="E40" s="286">
        <f>112.4/107.5*100-100</f>
        <v>4.558139534883736</v>
      </c>
      <c r="F40" s="286">
        <v>2.5</v>
      </c>
      <c r="G40" s="281"/>
      <c r="H40" s="281"/>
      <c r="I40" s="286">
        <v>5</v>
      </c>
      <c r="J40" s="286">
        <v>5</v>
      </c>
      <c r="K40" s="281"/>
      <c r="L40" s="281"/>
      <c r="M40" s="286">
        <v>3</v>
      </c>
      <c r="N40" s="281"/>
      <c r="O40" s="281"/>
      <c r="P40" s="130"/>
      <c r="Q40" s="130"/>
      <c r="R40" s="130"/>
      <c r="S40" s="130"/>
      <c r="T40" s="130"/>
    </row>
    <row r="41" spans="1:20" ht="15">
      <c r="A41" s="84"/>
      <c r="B41" s="164"/>
      <c r="C41" s="163"/>
      <c r="D41" s="280" t="s">
        <v>44</v>
      </c>
      <c r="E41" s="286">
        <v>111.9</v>
      </c>
      <c r="F41" s="286">
        <f>+E31</f>
        <v>109.6</v>
      </c>
      <c r="G41" s="281"/>
      <c r="H41" s="281"/>
      <c r="I41" s="286">
        <v>109.6</v>
      </c>
      <c r="J41" s="286">
        <f>+E31</f>
        <v>109.6</v>
      </c>
      <c r="K41" s="281"/>
      <c r="L41" s="281"/>
      <c r="M41" s="286">
        <v>107.5</v>
      </c>
      <c r="N41" s="281"/>
      <c r="O41" s="281"/>
      <c r="P41" s="130"/>
      <c r="Q41" s="130"/>
      <c r="R41" s="130"/>
      <c r="S41" s="130"/>
      <c r="T41" s="130"/>
    </row>
    <row r="42" spans="1:20" ht="15">
      <c r="A42" s="84"/>
      <c r="B42" s="164"/>
      <c r="C42" s="163"/>
      <c r="D42" s="280" t="s">
        <v>45</v>
      </c>
      <c r="E42" s="286"/>
      <c r="F42" s="286"/>
      <c r="G42" s="281"/>
      <c r="H42" s="281"/>
      <c r="I42" s="286"/>
      <c r="J42" s="286"/>
      <c r="K42" s="281"/>
      <c r="L42" s="281"/>
      <c r="M42" s="286"/>
      <c r="N42" s="281"/>
      <c r="O42" s="281"/>
      <c r="P42" s="130"/>
      <c r="Q42" s="130"/>
      <c r="R42" s="130"/>
      <c r="S42" s="130"/>
      <c r="T42" s="130"/>
    </row>
    <row r="43" spans="1:20" ht="23.25" customHeight="1">
      <c r="A43" s="84"/>
      <c r="B43" s="303" t="s">
        <v>5</v>
      </c>
      <c r="C43" s="304" t="s">
        <v>46</v>
      </c>
      <c r="D43" s="248" t="s">
        <v>47</v>
      </c>
      <c r="E43" s="249" t="e">
        <f>E46+E154+E178+E190</f>
        <v>#REF!</v>
      </c>
      <c r="F43" s="249">
        <f>F46+F154+F178+F190</f>
        <v>337655896.8271612</v>
      </c>
      <c r="G43" s="250" t="e">
        <f>+F43/E43*100</f>
        <v>#REF!</v>
      </c>
      <c r="H43" s="250" t="e">
        <f>+G43/H$26*100-100</f>
        <v>#REF!</v>
      </c>
      <c r="I43" s="249">
        <v>368607460.39434296</v>
      </c>
      <c r="J43" s="249">
        <f>J46+J154+J178+J190</f>
        <v>367798716.7099633</v>
      </c>
      <c r="K43" s="250" t="e">
        <f>+J43/E43*100</f>
        <v>#REF!</v>
      </c>
      <c r="L43" s="250" t="e">
        <f>+K43/$L$26*100-100</f>
        <v>#REF!</v>
      </c>
      <c r="M43" s="249">
        <f>M46+M154+M178+M190</f>
        <v>396109184.07215625</v>
      </c>
      <c r="N43" s="250">
        <f>+M43/J43*100</f>
        <v>107.69727192509968</v>
      </c>
      <c r="O43" s="250">
        <f>+N43/O$26*100-100</f>
        <v>2.666608126882437</v>
      </c>
      <c r="P43" s="130"/>
      <c r="Q43" s="130"/>
      <c r="R43" s="130"/>
      <c r="S43" s="130"/>
      <c r="T43" s="130"/>
    </row>
    <row r="44" spans="1:20" ht="15.75">
      <c r="A44" s="84"/>
      <c r="B44" s="253"/>
      <c r="C44" s="166"/>
      <c r="D44" s="251" t="s">
        <v>48</v>
      </c>
      <c r="E44" s="252" t="e">
        <f>+E43/E$562*100</f>
        <v>#REF!</v>
      </c>
      <c r="F44" s="254">
        <v>6.746371564978245</v>
      </c>
      <c r="G44" s="99"/>
      <c r="H44" s="99"/>
      <c r="I44" s="252">
        <v>6.683725483124986</v>
      </c>
      <c r="J44" s="252">
        <f>+J43/J$562*100</f>
        <v>6.455667012619369</v>
      </c>
      <c r="K44" s="99"/>
      <c r="L44" s="99"/>
      <c r="M44" s="252">
        <f>+M43/M$562*100</f>
        <v>6.402488913043193</v>
      </c>
      <c r="N44" s="99"/>
      <c r="O44" s="99"/>
      <c r="P44" s="130"/>
      <c r="Q44" s="130"/>
      <c r="R44" s="130"/>
      <c r="S44" s="130"/>
      <c r="T44" s="130"/>
    </row>
    <row r="45" spans="1:20" ht="15">
      <c r="A45" s="84"/>
      <c r="B45" s="73"/>
      <c r="C45" s="13"/>
      <c r="D45" s="14"/>
      <c r="E45" s="100"/>
      <c r="F45" s="66"/>
      <c r="G45" s="66"/>
      <c r="H45" s="66"/>
      <c r="I45" s="103"/>
      <c r="J45" s="66"/>
      <c r="K45" s="247"/>
      <c r="L45" s="247"/>
      <c r="M45" s="66"/>
      <c r="N45" s="66"/>
      <c r="O45" s="66"/>
      <c r="P45" s="130"/>
      <c r="Q45" s="130"/>
      <c r="R45" s="130"/>
      <c r="S45" s="130"/>
      <c r="T45" s="130"/>
    </row>
    <row r="46" spans="1:20" ht="15.75">
      <c r="A46" s="84"/>
      <c r="B46" s="73"/>
      <c r="C46" s="13" t="s">
        <v>49</v>
      </c>
      <c r="D46" s="9" t="s">
        <v>50</v>
      </c>
      <c r="E46" s="101">
        <f>E49+E125</f>
        <v>275793020.05707</v>
      </c>
      <c r="F46" s="101">
        <f>F49+F125</f>
        <v>274239682.4928491</v>
      </c>
      <c r="G46" s="90">
        <f>+F46/E46*100</f>
        <v>99.43677415624968</v>
      </c>
      <c r="H46" s="90">
        <f>+G46/H$26*100-100</f>
        <v>-6.544385191494655</v>
      </c>
      <c r="I46" s="101">
        <v>300250689.55181104</v>
      </c>
      <c r="J46" s="101">
        <f>J49+J125</f>
        <v>298283127.2099633</v>
      </c>
      <c r="K46" s="246">
        <f>+J46/E46*100</f>
        <v>108.15470498428112</v>
      </c>
      <c r="L46" s="246">
        <f>+K46/$L$26*100-100</f>
        <v>2.225619077770432</v>
      </c>
      <c r="M46" s="101">
        <f>M49+M125</f>
        <v>320664287.8101643</v>
      </c>
      <c r="N46" s="90">
        <f>+M46/J46*100</f>
        <v>107.50332773078604</v>
      </c>
      <c r="O46" s="90">
        <f>+N46/O$26*100-100</f>
        <v>2.481723289595834</v>
      </c>
      <c r="P46" s="130"/>
      <c r="Q46" s="130"/>
      <c r="R46" s="130"/>
      <c r="S46" s="130"/>
      <c r="T46" s="130"/>
    </row>
    <row r="47" spans="1:20" ht="15.75">
      <c r="A47" s="84"/>
      <c r="B47" s="253"/>
      <c r="C47" s="166"/>
      <c r="D47" s="251" t="s">
        <v>51</v>
      </c>
      <c r="E47" s="252">
        <f>+E46/E$562*100</f>
        <v>5.218903734847813</v>
      </c>
      <c r="F47" s="99"/>
      <c r="G47" s="99"/>
      <c r="H47" s="99"/>
      <c r="I47" s="252">
        <v>5.444255476914071</v>
      </c>
      <c r="J47" s="252">
        <f>+J46/J$562*100</f>
        <v>5.235517301352629</v>
      </c>
      <c r="K47" s="98"/>
      <c r="L47" s="98"/>
      <c r="M47" s="252">
        <f>+M46/M$562*100</f>
        <v>5.183039500390578</v>
      </c>
      <c r="N47" s="99"/>
      <c r="O47" s="99"/>
      <c r="P47" s="130"/>
      <c r="Q47" s="130"/>
      <c r="R47" s="130"/>
      <c r="S47" s="130"/>
      <c r="T47" s="130"/>
    </row>
    <row r="48" spans="1:20" ht="15">
      <c r="A48" s="84"/>
      <c r="B48" s="73"/>
      <c r="C48" s="13"/>
      <c r="D48" s="14"/>
      <c r="E48" s="100"/>
      <c r="F48" s="90"/>
      <c r="G48" s="66"/>
      <c r="H48" s="66"/>
      <c r="I48" s="100"/>
      <c r="J48" s="66"/>
      <c r="K48" s="246"/>
      <c r="L48" s="246"/>
      <c r="M48" s="66"/>
      <c r="N48" s="66"/>
      <c r="O48" s="66"/>
      <c r="P48" s="130"/>
      <c r="Q48" s="130"/>
      <c r="R48" s="130"/>
      <c r="S48" s="130"/>
      <c r="T48" s="130"/>
    </row>
    <row r="49" spans="1:20" ht="15.75">
      <c r="A49" s="85"/>
      <c r="B49" s="72">
        <v>70</v>
      </c>
      <c r="C49" s="8"/>
      <c r="D49" s="9" t="s">
        <v>52</v>
      </c>
      <c r="E49" s="101">
        <f>+E57</f>
        <v>271261674.64549</v>
      </c>
      <c r="F49" s="101">
        <f>F52+F57+F93+F97+F103+F113+F122</f>
        <v>270483801.92618245</v>
      </c>
      <c r="G49" s="90">
        <f>+F49/E49*100</f>
        <v>99.71323898950187</v>
      </c>
      <c r="H49" s="90">
        <f>+G49/H$26*100-100</f>
        <v>-6.284549821896732</v>
      </c>
      <c r="I49" s="101">
        <v>296307569.451811</v>
      </c>
      <c r="J49" s="101">
        <f>J52+J57+J93+J97+J103+J113+J122</f>
        <v>293501421.9599633</v>
      </c>
      <c r="K49" s="246">
        <f>+J49/E49*100</f>
        <v>108.19863231454951</v>
      </c>
      <c r="L49" s="246">
        <f>+K49/$L$26*100-100</f>
        <v>2.267138293525079</v>
      </c>
      <c r="M49" s="101">
        <f>M52+M57+M93+M97+M103+M113+M122</f>
        <v>315800195.3642893</v>
      </c>
      <c r="N49" s="90">
        <f>+M49/J49*100</f>
        <v>107.59750097816145</v>
      </c>
      <c r="O49" s="90">
        <f>+N49/O$26*100-100</f>
        <v>2.5714975959594284</v>
      </c>
      <c r="P49" s="130"/>
      <c r="Q49" s="130"/>
      <c r="R49" s="130"/>
      <c r="S49" s="130"/>
      <c r="T49" s="130"/>
    </row>
    <row r="50" spans="1:20" ht="16.5" thickBot="1">
      <c r="A50" s="86"/>
      <c r="B50" s="167"/>
      <c r="C50" s="168"/>
      <c r="D50" s="251" t="s">
        <v>48</v>
      </c>
      <c r="E50" s="252">
        <f>+E49/E$562*100</f>
        <v>5.1331558958071914</v>
      </c>
      <c r="F50" s="252">
        <f>+F49/F$562*100</f>
        <v>5.361423229458522</v>
      </c>
      <c r="G50" s="252">
        <f>+G49/G$562*100</f>
        <v>104.4469199510925</v>
      </c>
      <c r="H50" s="252" t="e">
        <f>+H49/H$562*100</f>
        <v>#DIV/0!</v>
      </c>
      <c r="I50" s="252">
        <v>5.372757378999293</v>
      </c>
      <c r="J50" s="252">
        <f>+J49/J$562*100</f>
        <v>5.151587979568626</v>
      </c>
      <c r="K50" s="98"/>
      <c r="L50" s="98"/>
      <c r="M50" s="408">
        <f>+M49/M$562*100</f>
        <v>5.10441901086651</v>
      </c>
      <c r="N50" s="99"/>
      <c r="O50" s="99"/>
      <c r="P50" s="130"/>
      <c r="Q50" s="130"/>
      <c r="R50" s="130"/>
      <c r="S50" s="130"/>
      <c r="T50" s="130"/>
    </row>
    <row r="51" spans="1:20" ht="16.5" thickBot="1">
      <c r="A51" s="84"/>
      <c r="B51" s="74"/>
      <c r="C51" s="15"/>
      <c r="D51" s="411" t="s">
        <v>53</v>
      </c>
      <c r="E51" s="100"/>
      <c r="F51" s="90"/>
      <c r="G51" s="89"/>
      <c r="H51" s="89"/>
      <c r="I51" s="100"/>
      <c r="J51" s="100"/>
      <c r="K51" s="326"/>
      <c r="L51" s="406"/>
      <c r="M51" s="410">
        <f>120000*12</f>
        <v>1440000</v>
      </c>
      <c r="N51" s="407"/>
      <c r="O51" s="89"/>
      <c r="P51" s="130"/>
      <c r="Q51" s="130"/>
      <c r="R51" s="130"/>
      <c r="S51" s="130"/>
      <c r="T51" s="130"/>
    </row>
    <row r="52" spans="1:20" ht="16.5" customHeight="1" hidden="1">
      <c r="A52" s="84"/>
      <c r="B52" s="72">
        <v>700</v>
      </c>
      <c r="C52" s="13"/>
      <c r="D52" s="9" t="s">
        <v>54</v>
      </c>
      <c r="E52" s="100" t="e">
        <f>+'fn 2004TP'!#REF!</f>
        <v>#REF!</v>
      </c>
      <c r="F52" s="90">
        <v>0</v>
      </c>
      <c r="G52" s="66"/>
      <c r="H52" s="66"/>
      <c r="I52" s="100">
        <v>0</v>
      </c>
      <c r="J52" s="66">
        <f>J53+J54+J55</f>
        <v>0</v>
      </c>
      <c r="K52" s="246" t="e">
        <f aca="true" t="shared" si="0" ref="K52:K57">+J52/E52*100</f>
        <v>#REF!</v>
      </c>
      <c r="L52" s="246" t="e">
        <f aca="true" t="shared" si="1" ref="L52:L57">+K52/$L$26*100-100</f>
        <v>#REF!</v>
      </c>
      <c r="M52" s="409">
        <f>M53+M54+M55</f>
        <v>0</v>
      </c>
      <c r="N52" s="66"/>
      <c r="O52" s="66"/>
      <c r="P52" s="130"/>
      <c r="Q52" s="130"/>
      <c r="R52" s="130"/>
      <c r="S52" s="130"/>
      <c r="T52" s="130"/>
    </row>
    <row r="53" spans="1:20" ht="16.5" customHeight="1" hidden="1">
      <c r="A53" s="84"/>
      <c r="B53" s="73">
        <v>7000</v>
      </c>
      <c r="C53" s="13"/>
      <c r="D53" s="14" t="s">
        <v>55</v>
      </c>
      <c r="E53" s="100" t="e">
        <f>+'fn 2004TP'!#REF!</f>
        <v>#REF!</v>
      </c>
      <c r="F53" s="90">
        <v>0</v>
      </c>
      <c r="G53" s="66"/>
      <c r="H53" s="66"/>
      <c r="I53" s="100">
        <v>0</v>
      </c>
      <c r="J53" s="66">
        <v>0</v>
      </c>
      <c r="K53" s="246" t="e">
        <f t="shared" si="0"/>
        <v>#REF!</v>
      </c>
      <c r="L53" s="246" t="e">
        <f t="shared" si="1"/>
        <v>#REF!</v>
      </c>
      <c r="M53" s="66">
        <v>0</v>
      </c>
      <c r="N53" s="66"/>
      <c r="O53" s="66"/>
      <c r="P53" s="130"/>
      <c r="Q53" s="130"/>
      <c r="R53" s="130"/>
      <c r="S53" s="130"/>
      <c r="T53" s="130"/>
    </row>
    <row r="54" spans="1:20" ht="16.5" customHeight="1" hidden="1">
      <c r="A54" s="84"/>
      <c r="B54" s="73">
        <v>7001</v>
      </c>
      <c r="C54" s="13"/>
      <c r="D54" s="14" t="s">
        <v>56</v>
      </c>
      <c r="E54" s="100" t="e">
        <f>+'fn 2004TP'!#REF!</f>
        <v>#REF!</v>
      </c>
      <c r="F54" s="90">
        <v>0</v>
      </c>
      <c r="G54" s="66"/>
      <c r="H54" s="66"/>
      <c r="I54" s="100">
        <v>0</v>
      </c>
      <c r="J54" s="66">
        <v>0</v>
      </c>
      <c r="K54" s="246" t="e">
        <f t="shared" si="0"/>
        <v>#REF!</v>
      </c>
      <c r="L54" s="246" t="e">
        <f t="shared" si="1"/>
        <v>#REF!</v>
      </c>
      <c r="M54" s="66">
        <v>0</v>
      </c>
      <c r="N54" s="66"/>
      <c r="O54" s="66"/>
      <c r="P54" s="130"/>
      <c r="Q54" s="130"/>
      <c r="R54" s="130"/>
      <c r="S54" s="130"/>
      <c r="T54" s="130"/>
    </row>
    <row r="55" spans="1:20" ht="16.5" customHeight="1" hidden="1">
      <c r="A55" s="84"/>
      <c r="B55" s="73">
        <v>7002</v>
      </c>
      <c r="C55" s="13"/>
      <c r="D55" s="14" t="s">
        <v>57</v>
      </c>
      <c r="E55" s="100" t="e">
        <f>+'fn 2004TP'!#REF!</f>
        <v>#REF!</v>
      </c>
      <c r="F55" s="90">
        <v>0</v>
      </c>
      <c r="G55" s="66"/>
      <c r="H55" s="66"/>
      <c r="I55" s="100">
        <v>0</v>
      </c>
      <c r="J55" s="66">
        <v>0</v>
      </c>
      <c r="K55" s="246" t="e">
        <f t="shared" si="0"/>
        <v>#REF!</v>
      </c>
      <c r="L55" s="246" t="e">
        <f t="shared" si="1"/>
        <v>#REF!</v>
      </c>
      <c r="M55" s="66">
        <v>0</v>
      </c>
      <c r="N55" s="66"/>
      <c r="O55" s="66"/>
      <c r="P55" s="130"/>
      <c r="Q55" s="130"/>
      <c r="R55" s="130"/>
      <c r="S55" s="130"/>
      <c r="T55" s="130"/>
    </row>
    <row r="56" spans="1:20" ht="16.5" customHeight="1" hidden="1">
      <c r="A56" s="84"/>
      <c r="B56" s="73"/>
      <c r="C56" s="13"/>
      <c r="D56" s="14"/>
      <c r="E56" s="100" t="e">
        <f>+'fn 2004TP'!#REF!</f>
        <v>#REF!</v>
      </c>
      <c r="F56" s="90">
        <v>0</v>
      </c>
      <c r="G56" s="66"/>
      <c r="H56" s="66"/>
      <c r="I56" s="100"/>
      <c r="J56" s="66"/>
      <c r="K56" s="246" t="e">
        <f t="shared" si="0"/>
        <v>#REF!</v>
      </c>
      <c r="L56" s="246" t="e">
        <f t="shared" si="1"/>
        <v>#REF!</v>
      </c>
      <c r="M56" s="66"/>
      <c r="N56" s="66"/>
      <c r="O56" s="66"/>
      <c r="P56" s="130"/>
      <c r="Q56" s="130"/>
      <c r="R56" s="130"/>
      <c r="S56" s="130"/>
      <c r="T56" s="130"/>
    </row>
    <row r="57" spans="1:20" ht="15.75">
      <c r="A57" s="84"/>
      <c r="B57" s="72">
        <v>701</v>
      </c>
      <c r="C57" s="8"/>
      <c r="D57" s="9" t="s">
        <v>58</v>
      </c>
      <c r="E57" s="101">
        <f>E59+E65+E71+E82</f>
        <v>271261674.64549</v>
      </c>
      <c r="F57" s="101">
        <f>F59+F65+F71+F82</f>
        <v>270483801.92618245</v>
      </c>
      <c r="G57" s="90">
        <f>+F57/E57*100</f>
        <v>99.71323898950187</v>
      </c>
      <c r="H57" s="90">
        <f>+G57/H$26*100-100</f>
        <v>-6.284549821896732</v>
      </c>
      <c r="I57" s="101">
        <v>296307569.451811</v>
      </c>
      <c r="J57" s="101">
        <f>J59+J65+J71+J82</f>
        <v>293501421.9599633</v>
      </c>
      <c r="K57" s="246">
        <f t="shared" si="0"/>
        <v>108.19863231454951</v>
      </c>
      <c r="L57" s="246">
        <f t="shared" si="1"/>
        <v>2.267138293525079</v>
      </c>
      <c r="M57" s="101">
        <f>M59+M65+M71+M82</f>
        <v>315800195.3642893</v>
      </c>
      <c r="N57" s="90">
        <f>+M57/J57*100</f>
        <v>107.59750097816145</v>
      </c>
      <c r="O57" s="90">
        <f>+N57/O$26*100-100</f>
        <v>2.5714975959594284</v>
      </c>
      <c r="P57" s="130"/>
      <c r="Q57" s="130"/>
      <c r="R57" s="130"/>
      <c r="S57" s="130"/>
      <c r="T57" s="130"/>
    </row>
    <row r="58" spans="1:20" ht="15.75">
      <c r="A58" s="86"/>
      <c r="B58" s="167"/>
      <c r="C58" s="168"/>
      <c r="D58" s="251" t="s">
        <v>48</v>
      </c>
      <c r="E58" s="252">
        <f aca="true" t="shared" si="2" ref="E58:J58">+E57/E$562*100</f>
        <v>5.1331558958071914</v>
      </c>
      <c r="F58" s="252">
        <f t="shared" si="2"/>
        <v>5.361423229458522</v>
      </c>
      <c r="G58" s="252">
        <f t="shared" si="2"/>
        <v>104.4469199510925</v>
      </c>
      <c r="H58" s="252" t="e">
        <f t="shared" si="2"/>
        <v>#DIV/0!</v>
      </c>
      <c r="I58" s="252">
        <f t="shared" si="2"/>
        <v>5.372659959961035</v>
      </c>
      <c r="J58" s="252">
        <f t="shared" si="2"/>
        <v>5.151587979568626</v>
      </c>
      <c r="K58" s="98"/>
      <c r="L58" s="98"/>
      <c r="M58" s="252">
        <f>+M57/M$562*100</f>
        <v>5.10441901086651</v>
      </c>
      <c r="N58" s="99"/>
      <c r="O58" s="99"/>
      <c r="P58" s="130"/>
      <c r="Q58" s="130"/>
      <c r="R58" s="130"/>
      <c r="S58" s="130"/>
      <c r="T58" s="130"/>
    </row>
    <row r="59" spans="1:20" ht="15.75">
      <c r="A59" s="84"/>
      <c r="B59" s="72">
        <v>7010</v>
      </c>
      <c r="C59" s="8"/>
      <c r="D59" s="9" t="s">
        <v>59</v>
      </c>
      <c r="E59" s="101">
        <f>E61+E62+E63</f>
        <v>123483005.74678999</v>
      </c>
      <c r="F59" s="101">
        <f>F61+F62+F63</f>
        <v>123444140.32729399</v>
      </c>
      <c r="G59" s="90">
        <f>+F59/E59*100</f>
        <v>99.96852569366858</v>
      </c>
      <c r="H59" s="90">
        <f>+G59/H$26*100-100</f>
        <v>-6.044618708958112</v>
      </c>
      <c r="I59" s="101">
        <v>136316390.10601556</v>
      </c>
      <c r="J59" s="101">
        <f>J61+J62+J63</f>
        <v>128688771.69643584</v>
      </c>
      <c r="K59" s="246">
        <f>+J59/E59*100</f>
        <v>104.21577521389511</v>
      </c>
      <c r="L59" s="246">
        <f>+K59/$L$26*100-100</f>
        <v>-1.4973769244847688</v>
      </c>
      <c r="M59" s="101">
        <f>M61+M62+M63</f>
        <v>138528732.00823325</v>
      </c>
      <c r="N59" s="90">
        <f>+M59/J59*100</f>
        <v>107.64632390385147</v>
      </c>
      <c r="O59" s="90">
        <f>+N59/O$26*100-100</f>
        <v>2.6180399464742266</v>
      </c>
      <c r="P59" s="130"/>
      <c r="Q59" s="130"/>
      <c r="R59" s="130"/>
      <c r="S59" s="130"/>
      <c r="T59" s="130"/>
    </row>
    <row r="60" spans="1:20" ht="15.75">
      <c r="A60" s="84"/>
      <c r="B60" s="167"/>
      <c r="C60" s="168"/>
      <c r="D60" s="251" t="s">
        <v>48</v>
      </c>
      <c r="E60" s="252">
        <f aca="true" t="shared" si="3" ref="E60:J60">+E59/E$562*100</f>
        <v>2.336701341276877</v>
      </c>
      <c r="F60" s="252">
        <f t="shared" si="3"/>
        <v>2.4468610570325864</v>
      </c>
      <c r="G60" s="252">
        <f t="shared" si="3"/>
        <v>104.71432586654457</v>
      </c>
      <c r="H60" s="252" t="e">
        <f t="shared" si="3"/>
        <v>#DIV/0!</v>
      </c>
      <c r="I60" s="252">
        <f t="shared" si="3"/>
        <v>2.471693896865253</v>
      </c>
      <c r="J60" s="252">
        <f t="shared" si="3"/>
        <v>2.25876769165106</v>
      </c>
      <c r="K60" s="98"/>
      <c r="L60" s="98"/>
      <c r="M60" s="252">
        <f>+M59/M$562*100</f>
        <v>2.2391015065661284</v>
      </c>
      <c r="N60" s="99"/>
      <c r="O60" s="99"/>
      <c r="P60" s="130"/>
      <c r="Q60" s="130"/>
      <c r="R60" s="130"/>
      <c r="S60" s="130"/>
      <c r="T60" s="130"/>
    </row>
    <row r="61" spans="1:20" ht="15">
      <c r="A61" s="84"/>
      <c r="B61" s="73">
        <v>701006</v>
      </c>
      <c r="C61" s="13"/>
      <c r="D61" s="14" t="s">
        <v>60</v>
      </c>
      <c r="E61" s="100">
        <v>112528464.09076</v>
      </c>
      <c r="F61" s="66">
        <v>111626302.181302</v>
      </c>
      <c r="G61" s="90">
        <f>+F61/E61*100</f>
        <v>99.1982811489097</v>
      </c>
      <c r="H61" s="90">
        <f>+G61/H$26*100-100</f>
        <v>-6.768532754784118</v>
      </c>
      <c r="I61" s="100">
        <v>123147204.10351883</v>
      </c>
      <c r="J61" s="66">
        <f>+'[2]REALJAN-JUN,PROJ  (2)'!AR70</f>
        <v>121696873.43336236</v>
      </c>
      <c r="K61" s="246">
        <f>+J61/E61*100</f>
        <v>108.14763572637727</v>
      </c>
      <c r="L61" s="246">
        <f>+K61/$L$26*100-100</f>
        <v>2.21893735952483</v>
      </c>
      <c r="M61" s="428">
        <f>+J61*M$30/100-960000*0.4729</f>
        <v>130978639.30803135</v>
      </c>
      <c r="N61" s="90">
        <f>+M61/J61*100</f>
        <v>107.62695508340352</v>
      </c>
      <c r="O61" s="90">
        <f>+N61/O$26*100-100</f>
        <v>2.599575865970934</v>
      </c>
      <c r="P61" s="130"/>
      <c r="Q61" s="130"/>
      <c r="R61" s="130"/>
      <c r="S61" s="130"/>
      <c r="T61" s="130"/>
    </row>
    <row r="62" spans="1:20" ht="15">
      <c r="A62" s="86"/>
      <c r="B62" s="73">
        <v>701007</v>
      </c>
      <c r="C62" s="15"/>
      <c r="D62" s="14" t="s">
        <v>61</v>
      </c>
      <c r="E62" s="100">
        <v>10907552.29249</v>
      </c>
      <c r="F62" s="66">
        <v>11768100.250904</v>
      </c>
      <c r="G62" s="90">
        <f>+F62/E62*100</f>
        <v>107.88946901502823</v>
      </c>
      <c r="H62" s="90">
        <f>+G62/H$26*100-100</f>
        <v>1.3998768938235315</v>
      </c>
      <c r="I62" s="100">
        <v>13090964.03002762</v>
      </c>
      <c r="J62" s="66">
        <f>+'[2]REALJAN-JUN,PROJ  (2)'!AR71</f>
        <v>6954562.007671479</v>
      </c>
      <c r="K62" s="246">
        <f>+J62/E62*100</f>
        <v>63.75914431746333</v>
      </c>
      <c r="L62" s="246">
        <f>+K62/$L$26*100-100</f>
        <v>-39.73615849011027</v>
      </c>
      <c r="M62" s="66">
        <f>+J62*M$30/100</f>
        <v>7510926.968285197</v>
      </c>
      <c r="N62" s="90">
        <f>+M62/J62*100</f>
        <v>108</v>
      </c>
      <c r="O62" s="90">
        <f>+N62/O$26*100-100</f>
        <v>2.9551954242135423</v>
      </c>
      <c r="P62" s="130"/>
      <c r="Q62" s="130"/>
      <c r="R62" s="130"/>
      <c r="S62" s="130"/>
      <c r="T62" s="130"/>
    </row>
    <row r="63" spans="1:20" ht="15">
      <c r="A63" s="86"/>
      <c r="B63" s="73">
        <v>701008</v>
      </c>
      <c r="C63" s="13"/>
      <c r="D63" s="14" t="s">
        <v>62</v>
      </c>
      <c r="E63" s="100">
        <v>46989.36354</v>
      </c>
      <c r="F63" s="66">
        <v>49737.895088</v>
      </c>
      <c r="G63" s="90">
        <f>+F63/E63*100</f>
        <v>105.84926319689411</v>
      </c>
      <c r="H63" s="90">
        <f>+G63/H$26*100-100</f>
        <v>-0.5176097773551618</v>
      </c>
      <c r="I63" s="100">
        <v>78221.97246912803</v>
      </c>
      <c r="J63" s="66">
        <f>+'[2]REALJAN-JUN,PROJ  (2)'!AR72</f>
        <v>37336.255402</v>
      </c>
      <c r="K63" s="246">
        <f>+J63/E63*100</f>
        <v>79.4568229684943</v>
      </c>
      <c r="L63" s="246">
        <f>+K63/$L$26*100-100</f>
        <v>-24.899033111064</v>
      </c>
      <c r="M63" s="66">
        <f>+J63*M$29/100</f>
        <v>39165.731916698</v>
      </c>
      <c r="N63" s="90">
        <f>+M63/J63*100</f>
        <v>104.89999999999999</v>
      </c>
      <c r="O63" s="90">
        <f>+N63/O$26*100-100</f>
        <v>0</v>
      </c>
      <c r="P63" s="130"/>
      <c r="Q63" s="130"/>
      <c r="R63" s="130"/>
      <c r="S63" s="130"/>
      <c r="T63" s="130"/>
    </row>
    <row r="64" spans="1:20" ht="15">
      <c r="A64" s="86"/>
      <c r="B64" s="74"/>
      <c r="C64" s="15"/>
      <c r="D64" s="16"/>
      <c r="E64" s="100"/>
      <c r="F64" s="90"/>
      <c r="G64" s="89"/>
      <c r="H64" s="89"/>
      <c r="I64" s="100"/>
      <c r="J64" s="89"/>
      <c r="K64" s="246"/>
      <c r="L64" s="246"/>
      <c r="M64" s="89"/>
      <c r="N64" s="89"/>
      <c r="O64" s="89"/>
      <c r="P64" s="130"/>
      <c r="Q64" s="130"/>
      <c r="R64" s="130"/>
      <c r="S64" s="130"/>
      <c r="T64" s="130"/>
    </row>
    <row r="65" spans="1:20" ht="15.75">
      <c r="A65" s="84"/>
      <c r="B65" s="72">
        <v>7011</v>
      </c>
      <c r="C65" s="8"/>
      <c r="D65" s="9" t="s">
        <v>63</v>
      </c>
      <c r="E65" s="101">
        <f>+E67+E68+E69</f>
        <v>127521920.08804001</v>
      </c>
      <c r="F65" s="101">
        <f>F67+F68</f>
        <v>126248639.94963583</v>
      </c>
      <c r="G65" s="90">
        <f>+F65/E65*100</f>
        <v>99.00152057189453</v>
      </c>
      <c r="H65" s="90">
        <f>+G65/H$26*100-100</f>
        <v>-6.953458109121698</v>
      </c>
      <c r="I65" s="101">
        <v>138187821.7988403</v>
      </c>
      <c r="J65" s="101">
        <f>+J67+J68+J69</f>
        <v>142391601.77840737</v>
      </c>
      <c r="K65" s="246">
        <f>+J65/E65*100</f>
        <v>111.66049074551377</v>
      </c>
      <c r="L65" s="246">
        <f>+K65/$L$26*100-100</f>
        <v>5.539216205589568</v>
      </c>
      <c r="M65" s="101">
        <f>+M67+M68+M69</f>
        <v>153276913.92067996</v>
      </c>
      <c r="N65" s="90">
        <f>+M65/J65*100</f>
        <v>107.64463072703721</v>
      </c>
      <c r="O65" s="90">
        <f>+N65/O$26*100-100</f>
        <v>2.6164258599020087</v>
      </c>
      <c r="P65" s="130"/>
      <c r="Q65" s="130"/>
      <c r="R65" s="130"/>
      <c r="S65" s="130"/>
      <c r="T65" s="130"/>
    </row>
    <row r="66" spans="1:20" ht="15.75">
      <c r="A66" s="84"/>
      <c r="B66" s="167"/>
      <c r="C66" s="168"/>
      <c r="D66" s="251" t="s">
        <v>48</v>
      </c>
      <c r="E66" s="252">
        <f>+E65/E$562*100</f>
        <v>2.4131307778736346</v>
      </c>
      <c r="F66" s="252">
        <f>+F65/F$562*100</f>
        <v>2.5024507423119093</v>
      </c>
      <c r="G66" s="252">
        <f>+G65/G$562*100</f>
        <v>103.70141416525217</v>
      </c>
      <c r="H66" s="252" t="e">
        <f>+H65/H$562*100</f>
        <v>#DIV/0!</v>
      </c>
      <c r="I66" s="252">
        <v>2.505672199435001</v>
      </c>
      <c r="J66" s="252">
        <f>+J65/J$562*100</f>
        <v>2.499282147304993</v>
      </c>
      <c r="K66" s="98"/>
      <c r="L66" s="98"/>
      <c r="M66" s="252">
        <f>+M65/M$562*100</f>
        <v>2.4774829301202552</v>
      </c>
      <c r="N66" s="99"/>
      <c r="O66" s="99"/>
      <c r="P66" s="130"/>
      <c r="Q66" s="130"/>
      <c r="R66" s="130"/>
      <c r="S66" s="130"/>
      <c r="T66" s="130"/>
    </row>
    <row r="67" spans="1:20" ht="15">
      <c r="A67" s="84"/>
      <c r="B67" s="73">
        <v>701109</v>
      </c>
      <c r="C67" s="13"/>
      <c r="D67" s="14" t="s">
        <v>64</v>
      </c>
      <c r="E67" s="100">
        <v>116914649.76836</v>
      </c>
      <c r="F67" s="66">
        <v>115659739.51749583</v>
      </c>
      <c r="G67" s="90">
        <f>+F67/E67*100</f>
        <v>98.92664413454558</v>
      </c>
      <c r="H67" s="90">
        <f>+G67/H$26*100-100</f>
        <v>-7.023830700615065</v>
      </c>
      <c r="I67" s="100">
        <v>126523169.63533708</v>
      </c>
      <c r="J67" s="66">
        <f>+'[2]REALJAN-JUN,PROJ  (2)'!AR76</f>
        <v>125536406.84841247</v>
      </c>
      <c r="K67" s="246">
        <f>+J67/E67*100</f>
        <v>107.37440269216437</v>
      </c>
      <c r="L67" s="246">
        <f>+K67/$L$26*100-100</f>
        <v>1.4880932818188626</v>
      </c>
      <c r="M67" s="428">
        <f>+J67*M$30/100-960000*0.5271*0.9252</f>
        <v>135111153.39308545</v>
      </c>
      <c r="N67" s="90">
        <f>+M67/J67*100</f>
        <v>107.62706754562019</v>
      </c>
      <c r="O67" s="90">
        <f>+N67/O$26*100-100</f>
        <v>2.5996830749477624</v>
      </c>
      <c r="P67" s="130"/>
      <c r="Q67" s="130"/>
      <c r="R67" s="130"/>
      <c r="S67" s="130"/>
      <c r="T67" s="130"/>
    </row>
    <row r="68" spans="1:20" ht="15">
      <c r="A68" s="86"/>
      <c r="B68" s="73">
        <v>701110</v>
      </c>
      <c r="C68" s="15"/>
      <c r="D68" s="14" t="s">
        <v>65</v>
      </c>
      <c r="E68" s="100">
        <v>10607270.31968</v>
      </c>
      <c r="F68" s="66">
        <v>10588900.43214</v>
      </c>
      <c r="G68" s="90">
        <f>+F68/E68*100</f>
        <v>99.82681795611528</v>
      </c>
      <c r="H68" s="90">
        <f>+G68/H$26*100-100</f>
        <v>-6.177802672824001</v>
      </c>
      <c r="I68" s="100">
        <v>11664652.163503228</v>
      </c>
      <c r="J68" s="66">
        <f>+'[2]REALJAN-JUN,PROJ  (2)'!AR77</f>
        <v>11427022.629620565</v>
      </c>
      <c r="K68" s="246">
        <f>+J68/E68*100</f>
        <v>107.72821173812883</v>
      </c>
      <c r="L68" s="246">
        <f>+K68/$L$26*100-100</f>
        <v>1.8225063687418128</v>
      </c>
      <c r="M68" s="428">
        <f>+J68*M$30/100-960000*0.5271*0.0748</f>
        <v>12303334.443190211</v>
      </c>
      <c r="N68" s="90">
        <f>+M68/J68*100</f>
        <v>107.6687676394209</v>
      </c>
      <c r="O68" s="90">
        <f>+N68/O$26*100-100</f>
        <v>2.6394353092668297</v>
      </c>
      <c r="P68" s="130"/>
      <c r="Q68" s="130"/>
      <c r="R68" s="130"/>
      <c r="S68" s="130"/>
      <c r="T68" s="130"/>
    </row>
    <row r="69" spans="1:20" ht="15">
      <c r="A69" s="86"/>
      <c r="B69" s="372">
        <v>701113</v>
      </c>
      <c r="C69" s="373"/>
      <c r="D69" s="374" t="s">
        <v>66</v>
      </c>
      <c r="E69" s="100">
        <v>0</v>
      </c>
      <c r="F69" s="66"/>
      <c r="G69" s="90"/>
      <c r="H69" s="90"/>
      <c r="I69" s="100"/>
      <c r="J69" s="66">
        <f>+'[2]REALJAN-JUN,PROJ  (2)'!AR78</f>
        <v>5428172.300374337</v>
      </c>
      <c r="K69" s="246" t="e">
        <f>+J69/E69*100</f>
        <v>#DIV/0!</v>
      </c>
      <c r="L69" s="246" t="e">
        <f>+K69/$L$26*100-100</f>
        <v>#DIV/0!</v>
      </c>
      <c r="M69" s="66">
        <f>+J69*M$30/100</f>
        <v>5862426.084404284</v>
      </c>
      <c r="N69" s="90">
        <f>+M69/J69*100</f>
        <v>108</v>
      </c>
      <c r="O69" s="90">
        <f>+N69/O$26*100-100</f>
        <v>2.9551954242135423</v>
      </c>
      <c r="P69" s="130"/>
      <c r="Q69" s="130"/>
      <c r="R69" s="130"/>
      <c r="S69" s="130"/>
      <c r="T69" s="130"/>
    </row>
    <row r="70" spans="1:20" ht="15">
      <c r="A70" s="86"/>
      <c r="B70" s="74"/>
      <c r="C70" s="15"/>
      <c r="D70" s="16"/>
      <c r="E70" s="100"/>
      <c r="F70" s="90"/>
      <c r="G70" s="89"/>
      <c r="H70" s="89"/>
      <c r="I70" s="100"/>
      <c r="J70" s="89"/>
      <c r="K70" s="246"/>
      <c r="L70" s="246"/>
      <c r="M70" s="89"/>
      <c r="N70" s="89"/>
      <c r="O70" s="89"/>
      <c r="P70" s="130"/>
      <c r="Q70" s="130"/>
      <c r="R70" s="130"/>
      <c r="S70" s="130"/>
      <c r="T70" s="130"/>
    </row>
    <row r="71" spans="1:20" ht="15.75">
      <c r="A71" s="84"/>
      <c r="B71" s="72">
        <v>7012</v>
      </c>
      <c r="C71" s="8"/>
      <c r="D71" s="9" t="s">
        <v>67</v>
      </c>
      <c r="E71" s="101">
        <f>SUM(E73:E80)</f>
        <v>14305207.00513</v>
      </c>
      <c r="F71" s="101">
        <f>F73+F74+F75+F76+F77+F78+F79</f>
        <v>15063782.0570366</v>
      </c>
      <c r="G71" s="90">
        <f>+F71/E71*100</f>
        <v>105.30278975784529</v>
      </c>
      <c r="H71" s="90">
        <f>+G71/H$26*100-100</f>
        <v>-1.0312126336040564</v>
      </c>
      <c r="I71" s="101">
        <v>15821037.908406854</v>
      </c>
      <c r="J71" s="101">
        <f>SUM(J73:J80)</f>
        <v>15468913.559490057</v>
      </c>
      <c r="K71" s="246">
        <f>+J71/E71*100</f>
        <v>108.13484596163299</v>
      </c>
      <c r="L71" s="246">
        <f>+K71/$L$26*100-100</f>
        <v>2.2068487350028363</v>
      </c>
      <c r="M71" s="101">
        <f>SUM(M73:M80)</f>
        <v>16666945.546508178</v>
      </c>
      <c r="N71" s="90">
        <f>+M71/J71*100</f>
        <v>107.7447713597387</v>
      </c>
      <c r="O71" s="90">
        <f>+N71/O$26*100-100</f>
        <v>2.7118888081398325</v>
      </c>
      <c r="P71" s="130"/>
      <c r="Q71" s="130"/>
      <c r="R71" s="130"/>
      <c r="S71" s="130"/>
      <c r="T71" s="130"/>
    </row>
    <row r="72" spans="1:20" ht="15.75">
      <c r="A72" s="84"/>
      <c r="B72" s="167"/>
      <c r="C72" s="168"/>
      <c r="D72" s="251" t="s">
        <v>48</v>
      </c>
      <c r="E72" s="252">
        <f aca="true" t="shared" si="4" ref="E72:J72">+E71/E$562*100</f>
        <v>0.2707011883455032</v>
      </c>
      <c r="F72" s="252">
        <f t="shared" si="4"/>
        <v>0.29858834602649353</v>
      </c>
      <c r="G72" s="252">
        <f t="shared" si="4"/>
        <v>110.30182314729895</v>
      </c>
      <c r="H72" s="252" t="e">
        <f t="shared" si="4"/>
        <v>#DIV/0!</v>
      </c>
      <c r="I72" s="252">
        <f t="shared" si="4"/>
        <v>0.28686765259753866</v>
      </c>
      <c r="J72" s="252">
        <f t="shared" si="4"/>
        <v>0.27151305986151436</v>
      </c>
      <c r="K72" s="98"/>
      <c r="L72" s="98"/>
      <c r="M72" s="252">
        <f>+M71/M$562*100</f>
        <v>0.2693952535480083</v>
      </c>
      <c r="N72" s="99"/>
      <c r="O72" s="99"/>
      <c r="P72" s="130"/>
      <c r="Q72" s="130"/>
      <c r="R72" s="130"/>
      <c r="S72" s="130"/>
      <c r="T72" s="130"/>
    </row>
    <row r="73" spans="1:20" ht="15">
      <c r="A73" s="84"/>
      <c r="B73" s="73">
        <v>701207</v>
      </c>
      <c r="C73" s="13"/>
      <c r="D73" s="14" t="s">
        <v>68</v>
      </c>
      <c r="E73" s="100">
        <v>609741.43007</v>
      </c>
      <c r="F73" s="66">
        <v>613328.88828512</v>
      </c>
      <c r="G73" s="90">
        <f aca="true" t="shared" si="5" ref="G73:G79">+F73/E73*100</f>
        <v>100.58835730002933</v>
      </c>
      <c r="H73" s="90">
        <f aca="true" t="shared" si="6" ref="H73:H79">+G73/H$26*100-100</f>
        <v>-5.462070206739355</v>
      </c>
      <c r="I73" s="100">
        <v>561239.3580495405</v>
      </c>
      <c r="J73" s="66">
        <f>+'[2]REALJAN-JUN,PROJ  (2)'!AR82</f>
        <v>1045763.14879044</v>
      </c>
      <c r="K73" s="246">
        <f aca="true" t="shared" si="7" ref="K73:K80">+J73/E73*100</f>
        <v>171.50928200341963</v>
      </c>
      <c r="L73" s="246">
        <f aca="true" t="shared" si="8" ref="L73:L80">+K73/$L$26*100-100</f>
        <v>62.10707183688055</v>
      </c>
      <c r="M73" s="66">
        <f>+J73*M$29/100</f>
        <v>1097005.5430811716</v>
      </c>
      <c r="N73" s="90">
        <f aca="true" t="shared" si="9" ref="N73:N80">+M73/J73*100</f>
        <v>104.89999999999999</v>
      </c>
      <c r="O73" s="90">
        <f aca="true" t="shared" si="10" ref="O73:O80">+N73/O$26*100-100</f>
        <v>0</v>
      </c>
      <c r="P73" s="130"/>
      <c r="Q73" s="130"/>
      <c r="R73" s="130"/>
      <c r="S73" s="130"/>
      <c r="T73" s="130"/>
    </row>
    <row r="74" spans="1:20" ht="15">
      <c r="A74" s="86"/>
      <c r="B74" s="73">
        <v>701208</v>
      </c>
      <c r="C74" s="15"/>
      <c r="D74" s="14" t="s">
        <v>69</v>
      </c>
      <c r="E74" s="100">
        <v>91013.16279</v>
      </c>
      <c r="F74" s="66">
        <v>88429.41601759999</v>
      </c>
      <c r="G74" s="90">
        <f t="shared" si="5"/>
        <v>97.16112846406443</v>
      </c>
      <c r="H74" s="90">
        <f t="shared" si="6"/>
        <v>-8.683149939789075</v>
      </c>
      <c r="I74" s="100">
        <v>79899.16519349212</v>
      </c>
      <c r="J74" s="66">
        <f>+'[2]REALJAN-JUN,PROJ  (2)'!AR83</f>
        <v>117989.925319036</v>
      </c>
      <c r="K74" s="246">
        <f t="shared" si="7"/>
        <v>129.64050660593026</v>
      </c>
      <c r="L74" s="246">
        <f t="shared" si="8"/>
        <v>22.533560119026717</v>
      </c>
      <c r="M74" s="66">
        <f>+J74*M$29/100</f>
        <v>123771.43165966877</v>
      </c>
      <c r="N74" s="90">
        <f t="shared" si="9"/>
        <v>104.89999999999999</v>
      </c>
      <c r="O74" s="90">
        <f t="shared" si="10"/>
        <v>0</v>
      </c>
      <c r="P74" s="130"/>
      <c r="Q74" s="130"/>
      <c r="R74" s="130"/>
      <c r="S74" s="130"/>
      <c r="T74" s="130"/>
    </row>
    <row r="75" spans="1:20" ht="15">
      <c r="A75" s="86"/>
      <c r="B75" s="73">
        <v>701209</v>
      </c>
      <c r="C75" s="13"/>
      <c r="D75" s="14" t="s">
        <v>70</v>
      </c>
      <c r="E75" s="100">
        <v>103417.51559000001</v>
      </c>
      <c r="F75" s="66">
        <v>102221.34368</v>
      </c>
      <c r="G75" s="90">
        <f t="shared" si="5"/>
        <v>98.84335655988659</v>
      </c>
      <c r="H75" s="90">
        <f t="shared" si="6"/>
        <v>-7.102108496347199</v>
      </c>
      <c r="I75" s="100">
        <v>139253.78912494087</v>
      </c>
      <c r="J75" s="66">
        <f>+'[2]REALJAN-JUN,PROJ  (2)'!AR84</f>
        <v>106268.14745719201</v>
      </c>
      <c r="K75" s="246">
        <f t="shared" si="7"/>
        <v>102.75643042760123</v>
      </c>
      <c r="L75" s="246">
        <f t="shared" si="8"/>
        <v>-2.8767198226831425</v>
      </c>
      <c r="M75" s="66">
        <f>+J75*M$30/100</f>
        <v>114769.59925376737</v>
      </c>
      <c r="N75" s="90">
        <f t="shared" si="9"/>
        <v>108</v>
      </c>
      <c r="O75" s="90">
        <f t="shared" si="10"/>
        <v>2.9551954242135423</v>
      </c>
      <c r="P75" s="130"/>
      <c r="Q75" s="130"/>
      <c r="R75" s="130"/>
      <c r="S75" s="130"/>
      <c r="T75" s="130"/>
    </row>
    <row r="76" spans="1:20" ht="15">
      <c r="A76" s="86"/>
      <c r="B76" s="73">
        <v>701210</v>
      </c>
      <c r="C76" s="15"/>
      <c r="D76" s="14" t="s">
        <v>71</v>
      </c>
      <c r="E76" s="100">
        <v>737773.55241</v>
      </c>
      <c r="F76" s="66">
        <v>673534.3333599999</v>
      </c>
      <c r="G76" s="90">
        <f t="shared" si="5"/>
        <v>91.29282706866393</v>
      </c>
      <c r="H76" s="90">
        <f t="shared" si="6"/>
        <v>-14.198470800127893</v>
      </c>
      <c r="I76" s="100">
        <v>790417.1105751019</v>
      </c>
      <c r="J76" s="66">
        <f>+'[2]REALJAN-JUN,PROJ  (2)'!AR85</f>
        <v>816846.5398615521</v>
      </c>
      <c r="K76" s="246">
        <f t="shared" si="7"/>
        <v>110.71778558519121</v>
      </c>
      <c r="L76" s="246">
        <f t="shared" si="8"/>
        <v>4.6481905342072025</v>
      </c>
      <c r="M76" s="66">
        <f>+J76*M$30/100</f>
        <v>882194.2630504762</v>
      </c>
      <c r="N76" s="90">
        <f t="shared" si="9"/>
        <v>108</v>
      </c>
      <c r="O76" s="90">
        <f t="shared" si="10"/>
        <v>2.9551954242135423</v>
      </c>
      <c r="P76" s="130"/>
      <c r="Q76" s="130"/>
      <c r="R76" s="130"/>
      <c r="S76" s="130"/>
      <c r="T76" s="130"/>
    </row>
    <row r="77" spans="1:20" ht="15">
      <c r="A77" s="86"/>
      <c r="B77" s="73">
        <v>701211</v>
      </c>
      <c r="C77" s="15"/>
      <c r="D77" s="14" t="s">
        <v>72</v>
      </c>
      <c r="E77" s="100">
        <v>93379.90661</v>
      </c>
      <c r="F77" s="66">
        <v>86476.17440000002</v>
      </c>
      <c r="G77" s="90">
        <f t="shared" si="5"/>
        <v>92.60683324643561</v>
      </c>
      <c r="H77" s="90">
        <f t="shared" si="6"/>
        <v>-12.96350258793646</v>
      </c>
      <c r="I77" s="100">
        <v>91360.36462053169</v>
      </c>
      <c r="J77" s="66">
        <f>+'[2]REALJAN-JUN,PROJ  (2)'!AR86</f>
        <v>109830.72398996401</v>
      </c>
      <c r="K77" s="246">
        <f t="shared" si="7"/>
        <v>117.61708484960329</v>
      </c>
      <c r="L77" s="246">
        <f t="shared" si="8"/>
        <v>11.169267343670413</v>
      </c>
      <c r="M77" s="66">
        <f>+J77*M$29/100</f>
        <v>115212.42946547225</v>
      </c>
      <c r="N77" s="90">
        <f t="shared" si="9"/>
        <v>104.89999999999999</v>
      </c>
      <c r="O77" s="90">
        <f t="shared" si="10"/>
        <v>0</v>
      </c>
      <c r="P77" s="130"/>
      <c r="Q77" s="130"/>
      <c r="R77" s="130"/>
      <c r="S77" s="130"/>
      <c r="T77" s="130"/>
    </row>
    <row r="78" spans="1:20" ht="15.75" customHeight="1">
      <c r="A78" s="86"/>
      <c r="B78" s="73">
        <v>701212</v>
      </c>
      <c r="C78" s="15"/>
      <c r="D78" s="14" t="s">
        <v>73</v>
      </c>
      <c r="E78" s="100">
        <v>433349.66721</v>
      </c>
      <c r="F78" s="66">
        <v>428862.78336</v>
      </c>
      <c r="G78" s="90">
        <f t="shared" si="5"/>
        <v>98.96460429313642</v>
      </c>
      <c r="H78" s="90">
        <f t="shared" si="6"/>
        <v>-6.988153859834199</v>
      </c>
      <c r="I78" s="100">
        <v>452132.009744183</v>
      </c>
      <c r="J78" s="66">
        <f>+'[2]REALJAN-JUN,PROJ  (2)'!AR87</f>
        <v>758840.6831812639</v>
      </c>
      <c r="K78" s="246">
        <f t="shared" si="7"/>
        <v>175.11048019647652</v>
      </c>
      <c r="L78" s="246">
        <f t="shared" si="8"/>
        <v>65.51085084733131</v>
      </c>
      <c r="M78" s="66">
        <f>+J78*M$30/100</f>
        <v>819547.9378357651</v>
      </c>
      <c r="N78" s="90">
        <f t="shared" si="9"/>
        <v>108</v>
      </c>
      <c r="O78" s="90">
        <f t="shared" si="10"/>
        <v>2.9551954242135423</v>
      </c>
      <c r="P78" s="130"/>
      <c r="Q78" s="130"/>
      <c r="R78" s="130"/>
      <c r="S78" s="130"/>
      <c r="T78" s="130"/>
    </row>
    <row r="79" spans="1:20" ht="15">
      <c r="A79" s="86"/>
      <c r="B79" s="73">
        <v>701213</v>
      </c>
      <c r="C79" s="13"/>
      <c r="D79" s="14" t="s">
        <v>74</v>
      </c>
      <c r="E79" s="100">
        <v>12236531.770450002</v>
      </c>
      <c r="F79" s="66">
        <v>13070929.117933879</v>
      </c>
      <c r="G79" s="90">
        <f t="shared" si="5"/>
        <v>106.81890394383532</v>
      </c>
      <c r="H79" s="90">
        <f t="shared" si="6"/>
        <v>0.3937067141309427</v>
      </c>
      <c r="I79" s="100">
        <v>13706736.111099062</v>
      </c>
      <c r="J79" s="66">
        <f>+'[2]REALJAN-JUN,PROJ  (2)'!AR88</f>
        <v>6959922.639155459</v>
      </c>
      <c r="K79" s="246">
        <f t="shared" si="7"/>
        <v>56.87822963008992</v>
      </c>
      <c r="L79" s="246">
        <f t="shared" si="8"/>
        <v>-46.239858572693834</v>
      </c>
      <c r="M79" s="66">
        <f>+J79*M$30/100</f>
        <v>7516716.450287895</v>
      </c>
      <c r="N79" s="90">
        <f t="shared" si="9"/>
        <v>108</v>
      </c>
      <c r="O79" s="90">
        <f t="shared" si="10"/>
        <v>2.9551954242135423</v>
      </c>
      <c r="P79" s="130"/>
      <c r="Q79" s="130"/>
      <c r="R79" s="130"/>
      <c r="S79" s="130"/>
      <c r="T79" s="130"/>
    </row>
    <row r="80" spans="1:20" ht="15">
      <c r="A80" s="86"/>
      <c r="B80" s="372">
        <v>701214</v>
      </c>
      <c r="C80" s="375"/>
      <c r="D80" s="374" t="s">
        <v>75</v>
      </c>
      <c r="E80" s="100"/>
      <c r="F80" s="66"/>
      <c r="G80" s="90"/>
      <c r="H80" s="90"/>
      <c r="I80" s="100"/>
      <c r="J80" s="66">
        <f>+'[2]REALJAN-JUN,PROJ  (2)'!AR89</f>
        <v>5553451.751735149</v>
      </c>
      <c r="K80" s="246" t="e">
        <f t="shared" si="7"/>
        <v>#DIV/0!</v>
      </c>
      <c r="L80" s="246" t="e">
        <f t="shared" si="8"/>
        <v>#DIV/0!</v>
      </c>
      <c r="M80" s="66">
        <f>+J80*M$30/100</f>
        <v>5997727.89187396</v>
      </c>
      <c r="N80" s="90">
        <f t="shared" si="9"/>
        <v>107.99999999999999</v>
      </c>
      <c r="O80" s="90">
        <f t="shared" si="10"/>
        <v>2.955195424213514</v>
      </c>
      <c r="P80" s="130"/>
      <c r="Q80" s="130"/>
      <c r="R80" s="130"/>
      <c r="S80" s="130"/>
      <c r="T80" s="130"/>
    </row>
    <row r="81" spans="1:20" ht="15">
      <c r="A81" s="86"/>
      <c r="B81" s="74"/>
      <c r="C81" s="15"/>
      <c r="D81" s="16"/>
      <c r="E81" s="100"/>
      <c r="F81" s="91"/>
      <c r="G81" s="90"/>
      <c r="H81" s="89"/>
      <c r="I81" s="100"/>
      <c r="J81" s="89"/>
      <c r="K81" s="246"/>
      <c r="L81" s="246"/>
      <c r="M81" s="89"/>
      <c r="N81" s="89"/>
      <c r="O81" s="89"/>
      <c r="P81" s="130"/>
      <c r="Q81" s="130"/>
      <c r="R81" s="130"/>
      <c r="S81" s="130"/>
      <c r="T81" s="130"/>
    </row>
    <row r="82" spans="1:20" ht="15.75">
      <c r="A82" s="84"/>
      <c r="B82" s="72">
        <v>7013</v>
      </c>
      <c r="C82" s="8"/>
      <c r="D82" s="9" t="s">
        <v>76</v>
      </c>
      <c r="E82" s="101">
        <f>SUM(E84:E91)</f>
        <v>5951541.8055300005</v>
      </c>
      <c r="F82" s="101">
        <f>+F84+F85+F87+F88+F90</f>
        <v>5727239.592216</v>
      </c>
      <c r="G82" s="90">
        <f>+F82/E82*100</f>
        <v>96.23119150224929</v>
      </c>
      <c r="H82" s="90">
        <f>+G82/H$26*100-100</f>
        <v>-9.557150843750676</v>
      </c>
      <c r="I82" s="101">
        <v>5982319.6385483</v>
      </c>
      <c r="J82" s="101">
        <f>SUM(J84:J90)</f>
        <v>6952134.925630008</v>
      </c>
      <c r="K82" s="246">
        <f>+J82/E82*100</f>
        <v>116.8123345646381</v>
      </c>
      <c r="L82" s="246">
        <f>+K82/$L$26*100-100</f>
        <v>10.408633804005788</v>
      </c>
      <c r="M82" s="101">
        <f>SUM(M84:M90)</f>
        <v>7327603.888867872</v>
      </c>
      <c r="N82" s="90">
        <f>+M82/J82*100</f>
        <v>105.40077209741206</v>
      </c>
      <c r="O82" s="90">
        <f>+N82/O$26*100-100</f>
        <v>0.4773804551115859</v>
      </c>
      <c r="P82" s="130"/>
      <c r="Q82" s="130"/>
      <c r="R82" s="130"/>
      <c r="S82" s="130"/>
      <c r="T82" s="130"/>
    </row>
    <row r="83" spans="1:20" ht="15.75">
      <c r="A83" s="84"/>
      <c r="B83" s="167"/>
      <c r="C83" s="168"/>
      <c r="D83" s="251" t="s">
        <v>48</v>
      </c>
      <c r="E83" s="252">
        <f aca="true" t="shared" si="11" ref="E83:J83">+E82/E$562*100</f>
        <v>0.11262258831117641</v>
      </c>
      <c r="F83" s="252">
        <f t="shared" si="11"/>
        <v>0.11352308408753221</v>
      </c>
      <c r="G83" s="252">
        <f t="shared" si="11"/>
        <v>100.79956942018391</v>
      </c>
      <c r="H83" s="252" t="e">
        <f t="shared" si="11"/>
        <v>#DIV/0!</v>
      </c>
      <c r="I83" s="252">
        <f t="shared" si="11"/>
        <v>0.10847164400551758</v>
      </c>
      <c r="J83" s="252">
        <f t="shared" si="11"/>
        <v>0.12202508075105767</v>
      </c>
      <c r="K83" s="98"/>
      <c r="L83" s="98"/>
      <c r="M83" s="252">
        <f>+M82/M$562*100</f>
        <v>0.11843932063211793</v>
      </c>
      <c r="N83" s="99"/>
      <c r="O83" s="99"/>
      <c r="P83" s="130"/>
      <c r="Q83" s="130"/>
      <c r="R83" s="130"/>
      <c r="S83" s="130"/>
      <c r="T83" s="130"/>
    </row>
    <row r="84" spans="1:20" ht="15">
      <c r="A84" s="84"/>
      <c r="B84" s="73">
        <v>701303</v>
      </c>
      <c r="C84" s="13"/>
      <c r="D84" s="14" t="s">
        <v>77</v>
      </c>
      <c r="E84" s="100">
        <v>1714695.422</v>
      </c>
      <c r="F84" s="66">
        <v>1653041.2148</v>
      </c>
      <c r="G84" s="90">
        <f>+F84/E84*100</f>
        <v>96.40436392323906</v>
      </c>
      <c r="H84" s="90">
        <f>+G84/H$26*100-100</f>
        <v>-9.39439480898585</v>
      </c>
      <c r="I84" s="100">
        <v>1934566.7022531796</v>
      </c>
      <c r="J84" s="66">
        <f>+'[2]REALJAN-JUN,PROJ  (2)'!AR93</f>
        <v>1645086.6769485523</v>
      </c>
      <c r="K84" s="246">
        <f>+J84/E84*100</f>
        <v>95.94046008647665</v>
      </c>
      <c r="L84" s="246">
        <f>+K84/$L$26*100-100</f>
        <v>-9.31903583508823</v>
      </c>
      <c r="M84" s="66">
        <f>+J84*M$30/100</f>
        <v>1776693.6111044365</v>
      </c>
      <c r="N84" s="90">
        <f>+M84/J84*100</f>
        <v>108</v>
      </c>
      <c r="O84" s="90">
        <f>+N84/O$26*100-100</f>
        <v>2.9551954242135423</v>
      </c>
      <c r="P84" s="130"/>
      <c r="Q84" s="130"/>
      <c r="R84" s="130"/>
      <c r="S84" s="130"/>
      <c r="T84" s="130"/>
    </row>
    <row r="85" spans="1:20" ht="15">
      <c r="A85" s="84"/>
      <c r="B85" s="73">
        <v>701304</v>
      </c>
      <c r="C85" s="13"/>
      <c r="D85" s="14" t="s">
        <v>78</v>
      </c>
      <c r="E85" s="100">
        <v>214762.55312</v>
      </c>
      <c r="F85" s="66">
        <v>1542.11904</v>
      </c>
      <c r="G85" s="90">
        <f>+F85/E85*100</f>
        <v>0.7180576956255176</v>
      </c>
      <c r="H85" s="90">
        <f>+G85/H$26*100-100</f>
        <v>-99.32513374471286</v>
      </c>
      <c r="I85" s="100">
        <v>928.613530034028</v>
      </c>
      <c r="J85" s="66">
        <f>+'[2]REALJAN-JUN,PROJ  (2)'!AR94</f>
        <v>178</v>
      </c>
      <c r="K85" s="246">
        <f>+J85/E85*100</f>
        <v>0.08288223315195054</v>
      </c>
      <c r="L85" s="246">
        <f>+K85/$L$26*100-100</f>
        <v>-99.92166140533843</v>
      </c>
      <c r="M85" s="66">
        <f>+J85*M$29/100</f>
        <v>186.722</v>
      </c>
      <c r="N85" s="90">
        <f>+M85/J85*100</f>
        <v>104.90000000000002</v>
      </c>
      <c r="O85" s="90">
        <f>+N85/O$26*100-100</f>
        <v>0</v>
      </c>
      <c r="P85" s="130"/>
      <c r="Q85" s="130"/>
      <c r="R85" s="130"/>
      <c r="S85" s="130"/>
      <c r="T85" s="130"/>
    </row>
    <row r="86" spans="1:20" ht="15">
      <c r="A86" s="84"/>
      <c r="B86" s="73">
        <v>701305</v>
      </c>
      <c r="C86" s="13"/>
      <c r="D86" s="14" t="s">
        <v>79</v>
      </c>
      <c r="E86" s="100">
        <v>213535.66666</v>
      </c>
      <c r="F86" s="66"/>
      <c r="G86" s="90"/>
      <c r="H86" s="90"/>
      <c r="I86" s="100"/>
      <c r="J86" s="66">
        <f>+'[2]REALJAN-JUN,PROJ  (2)'!AR95</f>
        <v>893388.619161456</v>
      </c>
      <c r="K86" s="246">
        <f>+J86/E86*100</f>
        <v>418.37910880899585</v>
      </c>
      <c r="L86" s="246">
        <f>+K86/$L$26*100-100</f>
        <v>295.44339206899417</v>
      </c>
      <c r="M86" s="66">
        <f>+J86*M$29/100</f>
        <v>937164.6615003673</v>
      </c>
      <c r="N86" s="90">
        <f>+M86/J86*100</f>
        <v>104.89999999999999</v>
      </c>
      <c r="O86" s="90">
        <f>+N86/O$26*100-100</f>
        <v>0</v>
      </c>
      <c r="P86" s="130"/>
      <c r="Q86" s="130"/>
      <c r="R86" s="130"/>
      <c r="S86" s="130"/>
      <c r="T86" s="130"/>
    </row>
    <row r="87" spans="1:20" ht="15">
      <c r="A87" s="84"/>
      <c r="B87" s="75">
        <v>701310</v>
      </c>
      <c r="C87" s="43"/>
      <c r="D87" s="94" t="s">
        <v>80</v>
      </c>
      <c r="E87" s="100">
        <v>2102017.0271</v>
      </c>
      <c r="F87" s="66">
        <v>2212210.881</v>
      </c>
      <c r="G87" s="90">
        <f>+F87/E87*100</f>
        <v>105.24229121264665</v>
      </c>
      <c r="H87" s="90">
        <f>+G87/H$26*100-100</f>
        <v>-1.0880721685651906</v>
      </c>
      <c r="I87" s="100">
        <v>2287472.347508778</v>
      </c>
      <c r="J87" s="66">
        <f>+'[2]REALJAN-JUN,PROJ  (2)'!AR96</f>
        <v>2472745.734808</v>
      </c>
      <c r="K87" s="246">
        <f>+J87/E87*100</f>
        <v>117.63680802431307</v>
      </c>
      <c r="L87" s="246">
        <f>+K87/$L$26*100-100</f>
        <v>11.187909285740133</v>
      </c>
      <c r="M87" s="66">
        <f>+J87*M$31/100</f>
        <v>2645837.93624456</v>
      </c>
      <c r="N87" s="90">
        <f>+M87/J87*100</f>
        <v>107</v>
      </c>
      <c r="O87" s="90">
        <f>+N87/O$26*100-100</f>
        <v>2.0019065776930347</v>
      </c>
      <c r="P87" s="130"/>
      <c r="Q87" s="130"/>
      <c r="R87" s="130"/>
      <c r="S87" s="130"/>
      <c r="T87" s="130"/>
    </row>
    <row r="88" spans="1:20" ht="15">
      <c r="A88" s="84"/>
      <c r="B88" s="75">
        <v>701314</v>
      </c>
      <c r="C88" s="43"/>
      <c r="D88" s="94" t="s">
        <v>81</v>
      </c>
      <c r="E88" s="100">
        <v>250631.97991999998</v>
      </c>
      <c r="F88" s="66">
        <v>231921.74464000002</v>
      </c>
      <c r="G88" s="90">
        <f>+F88/E88*100</f>
        <v>92.53477737119894</v>
      </c>
      <c r="H88" s="90">
        <f>+G88/H$26*100-100</f>
        <v>-13.031224275188976</v>
      </c>
      <c r="I88" s="100">
        <v>262451.93797875027</v>
      </c>
      <c r="J88" s="66">
        <f>+'[2]REALJAN-JUN,PROJ  (2)'!AR97</f>
        <v>293914.085776</v>
      </c>
      <c r="K88" s="246">
        <f>+J88/E88*100</f>
        <v>117.26918722415844</v>
      </c>
      <c r="L88" s="246">
        <f>+K88/$L$26*100-100</f>
        <v>10.840441610735766</v>
      </c>
      <c r="M88" s="66">
        <f>+J88*M$31/100</f>
        <v>314488.07178032</v>
      </c>
      <c r="N88" s="90">
        <f>+M88/J88*100</f>
        <v>107</v>
      </c>
      <c r="O88" s="90">
        <f>+N88/O$26*100-100</f>
        <v>2.0019065776930347</v>
      </c>
      <c r="P88" s="130"/>
      <c r="Q88" s="130"/>
      <c r="R88" s="130"/>
      <c r="S88" s="130"/>
      <c r="T88" s="130"/>
    </row>
    <row r="89" spans="1:20" ht="15">
      <c r="A89" s="84"/>
      <c r="B89" s="75"/>
      <c r="C89" s="43"/>
      <c r="D89" s="94" t="s">
        <v>82</v>
      </c>
      <c r="E89" s="100"/>
      <c r="F89" s="91"/>
      <c r="G89" s="90"/>
      <c r="H89" s="90"/>
      <c r="I89" s="100"/>
      <c r="J89" s="66"/>
      <c r="K89" s="246"/>
      <c r="L89" s="246"/>
      <c r="M89" s="66"/>
      <c r="N89" s="90"/>
      <c r="O89" s="90"/>
      <c r="P89" s="130"/>
      <c r="Q89" s="130"/>
      <c r="R89" s="130"/>
      <c r="S89" s="130"/>
      <c r="T89" s="130"/>
    </row>
    <row r="90" spans="1:20" ht="15">
      <c r="A90" s="84"/>
      <c r="B90" s="75">
        <v>701318</v>
      </c>
      <c r="C90" s="43"/>
      <c r="D90" s="94" t="s">
        <v>83</v>
      </c>
      <c r="E90" s="100">
        <v>1455881.7899800001</v>
      </c>
      <c r="F90" s="66">
        <v>1628523.6327359998</v>
      </c>
      <c r="G90" s="90">
        <f>+F90/E90*100</f>
        <v>111.8582321685864</v>
      </c>
      <c r="H90" s="90">
        <f>+G90/H$26*100-100</f>
        <v>5.129917451678949</v>
      </c>
      <c r="I90" s="100">
        <v>1496900.0372775574</v>
      </c>
      <c r="J90" s="66">
        <f>+'[2]REALJAN-JUN,PROJ  (2)'!AR99</f>
        <v>1646821.808936</v>
      </c>
      <c r="K90" s="246">
        <f>+J90/E90*100</f>
        <v>113.11507708044229</v>
      </c>
      <c r="L90" s="246">
        <f>+K90/$L$26*100-100</f>
        <v>6.9140615127053735</v>
      </c>
      <c r="M90" s="66">
        <f>+J90*M$29/100*0.957</f>
        <v>1653232.886238188</v>
      </c>
      <c r="N90" s="90">
        <f>+M90/J90*100</f>
        <v>100.38930000000002</v>
      </c>
      <c r="O90" s="90">
        <f>+N90/O$26*100-100</f>
        <v>-4.299999999999983</v>
      </c>
      <c r="P90" s="130"/>
      <c r="Q90" s="130"/>
      <c r="R90" s="130"/>
      <c r="S90" s="130"/>
      <c r="T90" s="130"/>
    </row>
    <row r="91" spans="1:20" ht="15">
      <c r="A91" s="84"/>
      <c r="B91" s="73">
        <v>701320</v>
      </c>
      <c r="C91" s="13"/>
      <c r="D91" s="14" t="s">
        <v>84</v>
      </c>
      <c r="E91" s="100">
        <v>17.36675</v>
      </c>
      <c r="F91" s="91"/>
      <c r="G91" s="90"/>
      <c r="H91" s="90"/>
      <c r="I91" s="100"/>
      <c r="J91" s="66">
        <f>+'[2]REALJAN-JUN,PROJ  (2)'!AR100</f>
        <v>0</v>
      </c>
      <c r="K91" s="246"/>
      <c r="L91" s="246"/>
      <c r="M91" s="66"/>
      <c r="N91" s="90"/>
      <c r="O91" s="90"/>
      <c r="P91" s="130"/>
      <c r="Q91" s="130"/>
      <c r="R91" s="130"/>
      <c r="S91" s="130"/>
      <c r="T91" s="130"/>
    </row>
    <row r="92" spans="1:20" ht="16.5" customHeight="1" hidden="1">
      <c r="A92" s="84"/>
      <c r="B92" s="73"/>
      <c r="C92" s="13"/>
      <c r="D92" s="14"/>
      <c r="E92" s="100" t="e">
        <f>+'fn 2004TP'!#REF!</f>
        <v>#REF!</v>
      </c>
      <c r="F92" s="91">
        <v>0</v>
      </c>
      <c r="G92" s="90" t="e">
        <f aca="true" t="shared" si="12" ref="G92:G123">+F92/E92*100</f>
        <v>#REF!</v>
      </c>
      <c r="H92" s="90"/>
      <c r="I92" s="100"/>
      <c r="J92" s="66"/>
      <c r="K92" s="246" t="e">
        <f aca="true" t="shared" si="13" ref="K92:K123">+J92/E92*100</f>
        <v>#REF!</v>
      </c>
      <c r="L92" s="246" t="e">
        <f aca="true" t="shared" si="14" ref="L92:L123">+K92/$L$26*100-100</f>
        <v>#REF!</v>
      </c>
      <c r="M92" s="66"/>
      <c r="N92" s="90"/>
      <c r="O92" s="90"/>
      <c r="P92" s="130"/>
      <c r="Q92" s="130"/>
      <c r="R92" s="130"/>
      <c r="S92" s="130"/>
      <c r="T92" s="130"/>
    </row>
    <row r="93" spans="1:20" ht="16.5" customHeight="1" hidden="1">
      <c r="A93" s="84"/>
      <c r="B93" s="72">
        <v>702</v>
      </c>
      <c r="C93" s="8"/>
      <c r="D93" s="9" t="s">
        <v>85</v>
      </c>
      <c r="E93" s="100" t="e">
        <f>+'fn 2004TP'!#REF!</f>
        <v>#REF!</v>
      </c>
      <c r="F93" s="91">
        <v>0</v>
      </c>
      <c r="G93" s="90" t="e">
        <f t="shared" si="12"/>
        <v>#REF!</v>
      </c>
      <c r="H93" s="66"/>
      <c r="I93" s="100">
        <v>0</v>
      </c>
      <c r="J93" s="66">
        <f>J94+J95</f>
        <v>0</v>
      </c>
      <c r="K93" s="246" t="e">
        <f t="shared" si="13"/>
        <v>#REF!</v>
      </c>
      <c r="L93" s="246" t="e">
        <f t="shared" si="14"/>
        <v>#REF!</v>
      </c>
      <c r="M93" s="66">
        <f>M94+M95</f>
        <v>0</v>
      </c>
      <c r="N93" s="66"/>
      <c r="O93" s="66"/>
      <c r="P93" s="130"/>
      <c r="Q93" s="130"/>
      <c r="R93" s="130"/>
      <c r="S93" s="130"/>
      <c r="T93" s="130"/>
    </row>
    <row r="94" spans="1:20" ht="16.5" customHeight="1" hidden="1">
      <c r="A94" s="84"/>
      <c r="B94" s="73">
        <v>7020</v>
      </c>
      <c r="C94" s="13"/>
      <c r="D94" s="14" t="s">
        <v>86</v>
      </c>
      <c r="E94" s="100" t="e">
        <f>+'fn 2004TP'!#REF!</f>
        <v>#REF!</v>
      </c>
      <c r="F94" s="91">
        <v>0</v>
      </c>
      <c r="G94" s="90" t="e">
        <f t="shared" si="12"/>
        <v>#REF!</v>
      </c>
      <c r="H94" s="66"/>
      <c r="I94" s="100"/>
      <c r="J94" s="66"/>
      <c r="K94" s="246" t="e">
        <f t="shared" si="13"/>
        <v>#REF!</v>
      </c>
      <c r="L94" s="246" t="e">
        <f t="shared" si="14"/>
        <v>#REF!</v>
      </c>
      <c r="M94" s="66"/>
      <c r="N94" s="66"/>
      <c r="O94" s="66"/>
      <c r="P94" s="130"/>
      <c r="Q94" s="130"/>
      <c r="R94" s="130"/>
      <c r="S94" s="130"/>
      <c r="T94" s="130"/>
    </row>
    <row r="95" spans="1:20" ht="16.5" customHeight="1" hidden="1">
      <c r="A95" s="84"/>
      <c r="B95" s="73">
        <v>7021</v>
      </c>
      <c r="C95" s="13"/>
      <c r="D95" s="14" t="s">
        <v>87</v>
      </c>
      <c r="E95" s="100" t="e">
        <f>+'fn 2004TP'!#REF!</f>
        <v>#REF!</v>
      </c>
      <c r="F95" s="91">
        <v>0</v>
      </c>
      <c r="G95" s="90" t="e">
        <f t="shared" si="12"/>
        <v>#REF!</v>
      </c>
      <c r="H95" s="66"/>
      <c r="I95" s="100"/>
      <c r="J95" s="66"/>
      <c r="K95" s="246" t="e">
        <f t="shared" si="13"/>
        <v>#REF!</v>
      </c>
      <c r="L95" s="246" t="e">
        <f t="shared" si="14"/>
        <v>#REF!</v>
      </c>
      <c r="M95" s="66"/>
      <c r="N95" s="66"/>
      <c r="O95" s="66"/>
      <c r="P95" s="130"/>
      <c r="Q95" s="130"/>
      <c r="R95" s="130"/>
      <c r="S95" s="130"/>
      <c r="T95" s="130"/>
    </row>
    <row r="96" spans="1:20" ht="16.5" customHeight="1" hidden="1">
      <c r="A96" s="84"/>
      <c r="B96" s="73"/>
      <c r="C96" s="13"/>
      <c r="D96" s="14"/>
      <c r="E96" s="100" t="e">
        <f>+'fn 2004TP'!#REF!</f>
        <v>#REF!</v>
      </c>
      <c r="F96" s="91">
        <v>0</v>
      </c>
      <c r="G96" s="90" t="e">
        <f t="shared" si="12"/>
        <v>#REF!</v>
      </c>
      <c r="H96" s="66"/>
      <c r="I96" s="100"/>
      <c r="J96" s="66"/>
      <c r="K96" s="246" t="e">
        <f t="shared" si="13"/>
        <v>#REF!</v>
      </c>
      <c r="L96" s="246" t="e">
        <f t="shared" si="14"/>
        <v>#REF!</v>
      </c>
      <c r="M96" s="66"/>
      <c r="N96" s="66"/>
      <c r="O96" s="66"/>
      <c r="P96" s="130"/>
      <c r="Q96" s="130"/>
      <c r="R96" s="130"/>
      <c r="S96" s="130"/>
      <c r="T96" s="130"/>
    </row>
    <row r="97" spans="1:20" ht="16.5" customHeight="1" hidden="1">
      <c r="A97" s="84"/>
      <c r="B97" s="72">
        <v>703</v>
      </c>
      <c r="C97" s="8"/>
      <c r="D97" s="9" t="s">
        <v>88</v>
      </c>
      <c r="E97" s="100" t="e">
        <f>+'fn 2004TP'!#REF!</f>
        <v>#REF!</v>
      </c>
      <c r="F97" s="91">
        <v>0</v>
      </c>
      <c r="G97" s="90" t="e">
        <f t="shared" si="12"/>
        <v>#REF!</v>
      </c>
      <c r="H97" s="66"/>
      <c r="I97" s="100">
        <v>0</v>
      </c>
      <c r="J97" s="66">
        <f>SUM(J98:J101)</f>
        <v>0</v>
      </c>
      <c r="K97" s="246" t="e">
        <f t="shared" si="13"/>
        <v>#REF!</v>
      </c>
      <c r="L97" s="246" t="e">
        <f t="shared" si="14"/>
        <v>#REF!</v>
      </c>
      <c r="M97" s="66">
        <f>SUM(M98:M101)</f>
        <v>0</v>
      </c>
      <c r="N97" s="66"/>
      <c r="O97" s="66"/>
      <c r="P97" s="130"/>
      <c r="Q97" s="130"/>
      <c r="R97" s="130"/>
      <c r="S97" s="130"/>
      <c r="T97" s="130"/>
    </row>
    <row r="98" spans="1:20" ht="16.5" customHeight="1" hidden="1">
      <c r="A98" s="84"/>
      <c r="B98" s="73">
        <v>7030</v>
      </c>
      <c r="C98" s="13"/>
      <c r="D98" s="14" t="s">
        <v>89</v>
      </c>
      <c r="E98" s="100" t="e">
        <f>+'fn 2004TP'!#REF!</f>
        <v>#REF!</v>
      </c>
      <c r="F98" s="91">
        <v>0</v>
      </c>
      <c r="G98" s="90" t="e">
        <f t="shared" si="12"/>
        <v>#REF!</v>
      </c>
      <c r="H98" s="66"/>
      <c r="I98" s="100"/>
      <c r="J98" s="66"/>
      <c r="K98" s="246" t="e">
        <f t="shared" si="13"/>
        <v>#REF!</v>
      </c>
      <c r="L98" s="246" t="e">
        <f t="shared" si="14"/>
        <v>#REF!</v>
      </c>
      <c r="M98" s="66"/>
      <c r="N98" s="66"/>
      <c r="O98" s="66"/>
      <c r="P98" s="130"/>
      <c r="Q98" s="130"/>
      <c r="R98" s="130"/>
      <c r="S98" s="130"/>
      <c r="T98" s="130"/>
    </row>
    <row r="99" spans="1:20" ht="16.5" customHeight="1" hidden="1">
      <c r="A99" s="84"/>
      <c r="B99" s="73">
        <v>7031</v>
      </c>
      <c r="C99" s="13"/>
      <c r="D99" s="14" t="s">
        <v>90</v>
      </c>
      <c r="E99" s="100" t="e">
        <f>+'fn 2004TP'!#REF!</f>
        <v>#REF!</v>
      </c>
      <c r="F99" s="91">
        <v>0</v>
      </c>
      <c r="G99" s="90" t="e">
        <f t="shared" si="12"/>
        <v>#REF!</v>
      </c>
      <c r="H99" s="66"/>
      <c r="I99" s="100"/>
      <c r="J99" s="66"/>
      <c r="K99" s="246" t="e">
        <f t="shared" si="13"/>
        <v>#REF!</v>
      </c>
      <c r="L99" s="246" t="e">
        <f t="shared" si="14"/>
        <v>#REF!</v>
      </c>
      <c r="M99" s="66"/>
      <c r="N99" s="66"/>
      <c r="O99" s="66"/>
      <c r="P99" s="130"/>
      <c r="Q99" s="130"/>
      <c r="R99" s="130"/>
      <c r="S99" s="130"/>
      <c r="T99" s="130"/>
    </row>
    <row r="100" spans="1:20" ht="16.5" customHeight="1" hidden="1">
      <c r="A100" s="84"/>
      <c r="B100" s="73">
        <v>7032</v>
      </c>
      <c r="C100" s="13"/>
      <c r="D100" s="14" t="s">
        <v>91</v>
      </c>
      <c r="E100" s="100" t="e">
        <f>+'fn 2004TP'!#REF!</f>
        <v>#REF!</v>
      </c>
      <c r="F100" s="91">
        <v>0</v>
      </c>
      <c r="G100" s="90" t="e">
        <f t="shared" si="12"/>
        <v>#REF!</v>
      </c>
      <c r="H100" s="66"/>
      <c r="I100" s="100"/>
      <c r="J100" s="66"/>
      <c r="K100" s="246" t="e">
        <f t="shared" si="13"/>
        <v>#REF!</v>
      </c>
      <c r="L100" s="246" t="e">
        <f t="shared" si="14"/>
        <v>#REF!</v>
      </c>
      <c r="M100" s="66"/>
      <c r="N100" s="66"/>
      <c r="O100" s="66"/>
      <c r="P100" s="130"/>
      <c r="Q100" s="130"/>
      <c r="R100" s="130"/>
      <c r="S100" s="130"/>
      <c r="T100" s="130"/>
    </row>
    <row r="101" spans="1:20" ht="16.5" customHeight="1" hidden="1">
      <c r="A101" s="84"/>
      <c r="B101" s="73">
        <v>7033</v>
      </c>
      <c r="C101" s="13"/>
      <c r="D101" s="14" t="s">
        <v>92</v>
      </c>
      <c r="E101" s="100" t="e">
        <f>+'fn 2004TP'!#REF!</f>
        <v>#REF!</v>
      </c>
      <c r="F101" s="91">
        <v>0</v>
      </c>
      <c r="G101" s="90" t="e">
        <f t="shared" si="12"/>
        <v>#REF!</v>
      </c>
      <c r="H101" s="66"/>
      <c r="I101" s="100"/>
      <c r="J101" s="66"/>
      <c r="K101" s="246" t="e">
        <f t="shared" si="13"/>
        <v>#REF!</v>
      </c>
      <c r="L101" s="246" t="e">
        <f t="shared" si="14"/>
        <v>#REF!</v>
      </c>
      <c r="M101" s="66"/>
      <c r="N101" s="66"/>
      <c r="O101" s="66"/>
      <c r="P101" s="130"/>
      <c r="Q101" s="130"/>
      <c r="R101" s="130"/>
      <c r="S101" s="130"/>
      <c r="T101" s="130"/>
    </row>
    <row r="102" spans="1:20" ht="16.5" customHeight="1" hidden="1">
      <c r="A102" s="84"/>
      <c r="B102" s="73"/>
      <c r="C102" s="13"/>
      <c r="D102" s="14"/>
      <c r="E102" s="100" t="e">
        <f>+'fn 2004TP'!#REF!</f>
        <v>#REF!</v>
      </c>
      <c r="F102" s="91">
        <v>0</v>
      </c>
      <c r="G102" s="90" t="e">
        <f t="shared" si="12"/>
        <v>#REF!</v>
      </c>
      <c r="H102" s="66"/>
      <c r="I102" s="100"/>
      <c r="J102" s="66"/>
      <c r="K102" s="246" t="e">
        <f t="shared" si="13"/>
        <v>#REF!</v>
      </c>
      <c r="L102" s="246" t="e">
        <f t="shared" si="14"/>
        <v>#REF!</v>
      </c>
      <c r="M102" s="66"/>
      <c r="N102" s="66"/>
      <c r="O102" s="66"/>
      <c r="P102" s="130"/>
      <c r="Q102" s="130"/>
      <c r="R102" s="130"/>
      <c r="S102" s="130"/>
      <c r="T102" s="130"/>
    </row>
    <row r="103" spans="1:20" ht="16.5" customHeight="1" hidden="1">
      <c r="A103" s="84"/>
      <c r="B103" s="72">
        <v>704</v>
      </c>
      <c r="C103" s="8"/>
      <c r="D103" s="9" t="s">
        <v>93</v>
      </c>
      <c r="E103" s="100" t="e">
        <f>+'fn 2004TP'!#REF!</f>
        <v>#REF!</v>
      </c>
      <c r="F103" s="91">
        <v>0</v>
      </c>
      <c r="G103" s="90" t="e">
        <f t="shared" si="12"/>
        <v>#REF!</v>
      </c>
      <c r="H103" s="66"/>
      <c r="I103" s="100">
        <v>0</v>
      </c>
      <c r="J103" s="66">
        <f>SUM(J104:J111)</f>
        <v>0</v>
      </c>
      <c r="K103" s="246" t="e">
        <f t="shared" si="13"/>
        <v>#REF!</v>
      </c>
      <c r="L103" s="246" t="e">
        <f t="shared" si="14"/>
        <v>#REF!</v>
      </c>
      <c r="M103" s="66">
        <f>SUM(M104:M111)</f>
        <v>0</v>
      </c>
      <c r="N103" s="66"/>
      <c r="O103" s="66"/>
      <c r="P103" s="130"/>
      <c r="Q103" s="130"/>
      <c r="R103" s="130"/>
      <c r="S103" s="130"/>
      <c r="T103" s="130"/>
    </row>
    <row r="104" spans="1:20" ht="16.5" customHeight="1" hidden="1">
      <c r="A104" s="84"/>
      <c r="B104" s="73">
        <v>7040</v>
      </c>
      <c r="C104" s="13"/>
      <c r="D104" s="14" t="s">
        <v>94</v>
      </c>
      <c r="E104" s="100" t="e">
        <f>+'fn 2004TP'!#REF!</f>
        <v>#REF!</v>
      </c>
      <c r="F104" s="91">
        <v>0</v>
      </c>
      <c r="G104" s="90" t="e">
        <f t="shared" si="12"/>
        <v>#REF!</v>
      </c>
      <c r="H104" s="66"/>
      <c r="I104" s="100"/>
      <c r="J104" s="66"/>
      <c r="K104" s="246" t="e">
        <f t="shared" si="13"/>
        <v>#REF!</v>
      </c>
      <c r="L104" s="246" t="e">
        <f t="shared" si="14"/>
        <v>#REF!</v>
      </c>
      <c r="M104" s="66"/>
      <c r="N104" s="66"/>
      <c r="O104" s="66"/>
      <c r="P104" s="130"/>
      <c r="Q104" s="130"/>
      <c r="R104" s="130"/>
      <c r="S104" s="130"/>
      <c r="T104" s="130"/>
    </row>
    <row r="105" spans="1:20" ht="16.5" customHeight="1" hidden="1">
      <c r="A105" s="84"/>
      <c r="B105" s="73">
        <v>7041</v>
      </c>
      <c r="C105" s="13"/>
      <c r="D105" s="14" t="s">
        <v>95</v>
      </c>
      <c r="E105" s="100" t="e">
        <f>+'fn 2004TP'!#REF!</f>
        <v>#REF!</v>
      </c>
      <c r="F105" s="91">
        <v>0</v>
      </c>
      <c r="G105" s="90" t="e">
        <f t="shared" si="12"/>
        <v>#REF!</v>
      </c>
      <c r="H105" s="66"/>
      <c r="I105" s="100"/>
      <c r="J105" s="66"/>
      <c r="K105" s="246" t="e">
        <f t="shared" si="13"/>
        <v>#REF!</v>
      </c>
      <c r="L105" s="246" t="e">
        <f t="shared" si="14"/>
        <v>#REF!</v>
      </c>
      <c r="M105" s="66"/>
      <c r="N105" s="66"/>
      <c r="O105" s="66"/>
      <c r="P105" s="130"/>
      <c r="Q105" s="130"/>
      <c r="R105" s="130"/>
      <c r="S105" s="130"/>
      <c r="T105" s="130"/>
    </row>
    <row r="106" spans="1:20" ht="16.5" customHeight="1" hidden="1">
      <c r="A106" s="84"/>
      <c r="B106" s="73">
        <v>7042</v>
      </c>
      <c r="C106" s="13"/>
      <c r="D106" s="14" t="s">
        <v>96</v>
      </c>
      <c r="E106" s="100" t="e">
        <f>+'fn 2004TP'!#REF!</f>
        <v>#REF!</v>
      </c>
      <c r="F106" s="91">
        <v>0</v>
      </c>
      <c r="G106" s="90" t="e">
        <f t="shared" si="12"/>
        <v>#REF!</v>
      </c>
      <c r="H106" s="66"/>
      <c r="I106" s="100"/>
      <c r="J106" s="66"/>
      <c r="K106" s="246" t="e">
        <f t="shared" si="13"/>
        <v>#REF!</v>
      </c>
      <c r="L106" s="246" t="e">
        <f t="shared" si="14"/>
        <v>#REF!</v>
      </c>
      <c r="M106" s="66"/>
      <c r="N106" s="66"/>
      <c r="O106" s="66"/>
      <c r="P106" s="130"/>
      <c r="Q106" s="130"/>
      <c r="R106" s="130"/>
      <c r="S106" s="130"/>
      <c r="T106" s="130"/>
    </row>
    <row r="107" spans="1:20" ht="16.5" customHeight="1" hidden="1">
      <c r="A107" s="84"/>
      <c r="B107" s="73">
        <v>7043</v>
      </c>
      <c r="C107" s="13"/>
      <c r="D107" s="14" t="s">
        <v>97</v>
      </c>
      <c r="E107" s="100" t="e">
        <f>+'fn 2004TP'!#REF!</f>
        <v>#REF!</v>
      </c>
      <c r="F107" s="91">
        <v>0</v>
      </c>
      <c r="G107" s="90" t="e">
        <f t="shared" si="12"/>
        <v>#REF!</v>
      </c>
      <c r="H107" s="66"/>
      <c r="I107" s="100"/>
      <c r="J107" s="66"/>
      <c r="K107" s="246" t="e">
        <f t="shared" si="13"/>
        <v>#REF!</v>
      </c>
      <c r="L107" s="246" t="e">
        <f t="shared" si="14"/>
        <v>#REF!</v>
      </c>
      <c r="M107" s="66"/>
      <c r="N107" s="66"/>
      <c r="O107" s="66"/>
      <c r="P107" s="130"/>
      <c r="Q107" s="130"/>
      <c r="R107" s="130"/>
      <c r="S107" s="130"/>
      <c r="T107" s="130"/>
    </row>
    <row r="108" spans="1:20" ht="16.5" customHeight="1" hidden="1">
      <c r="A108" s="84"/>
      <c r="B108" s="73">
        <v>7044</v>
      </c>
      <c r="C108" s="13"/>
      <c r="D108" s="14" t="s">
        <v>98</v>
      </c>
      <c r="E108" s="100" t="e">
        <f>+'fn 2004TP'!#REF!</f>
        <v>#REF!</v>
      </c>
      <c r="F108" s="91">
        <v>0</v>
      </c>
      <c r="G108" s="90" t="e">
        <f t="shared" si="12"/>
        <v>#REF!</v>
      </c>
      <c r="H108" s="66"/>
      <c r="I108" s="100"/>
      <c r="J108" s="66"/>
      <c r="K108" s="246" t="e">
        <f t="shared" si="13"/>
        <v>#REF!</v>
      </c>
      <c r="L108" s="246" t="e">
        <f t="shared" si="14"/>
        <v>#REF!</v>
      </c>
      <c r="M108" s="66"/>
      <c r="N108" s="66"/>
      <c r="O108" s="66"/>
      <c r="P108" s="130"/>
      <c r="Q108" s="130"/>
      <c r="R108" s="130"/>
      <c r="S108" s="130"/>
      <c r="T108" s="130"/>
    </row>
    <row r="109" spans="1:20" ht="16.5" customHeight="1" hidden="1">
      <c r="A109" s="84"/>
      <c r="B109" s="73">
        <v>7045</v>
      </c>
      <c r="C109" s="13"/>
      <c r="D109" s="14" t="s">
        <v>99</v>
      </c>
      <c r="E109" s="100" t="e">
        <f>+'fn 2004TP'!#REF!</f>
        <v>#REF!</v>
      </c>
      <c r="F109" s="91">
        <v>0</v>
      </c>
      <c r="G109" s="90" t="e">
        <f t="shared" si="12"/>
        <v>#REF!</v>
      </c>
      <c r="H109" s="66"/>
      <c r="I109" s="100"/>
      <c r="J109" s="66"/>
      <c r="K109" s="246" t="e">
        <f t="shared" si="13"/>
        <v>#REF!</v>
      </c>
      <c r="L109" s="246" t="e">
        <f t="shared" si="14"/>
        <v>#REF!</v>
      </c>
      <c r="M109" s="66"/>
      <c r="N109" s="66"/>
      <c r="O109" s="66"/>
      <c r="P109" s="130"/>
      <c r="Q109" s="130"/>
      <c r="R109" s="130"/>
      <c r="S109" s="130"/>
      <c r="T109" s="130"/>
    </row>
    <row r="110" spans="1:20" ht="16.5" customHeight="1" hidden="1">
      <c r="A110" s="84"/>
      <c r="B110" s="73">
        <v>7046</v>
      </c>
      <c r="C110" s="13"/>
      <c r="D110" s="14" t="s">
        <v>100</v>
      </c>
      <c r="E110" s="100" t="e">
        <f>+'fn 2004TP'!#REF!</f>
        <v>#REF!</v>
      </c>
      <c r="F110" s="91">
        <v>0</v>
      </c>
      <c r="G110" s="90" t="e">
        <f t="shared" si="12"/>
        <v>#REF!</v>
      </c>
      <c r="H110" s="66"/>
      <c r="I110" s="100"/>
      <c r="J110" s="66"/>
      <c r="K110" s="246" t="e">
        <f t="shared" si="13"/>
        <v>#REF!</v>
      </c>
      <c r="L110" s="246" t="e">
        <f t="shared" si="14"/>
        <v>#REF!</v>
      </c>
      <c r="M110" s="66"/>
      <c r="N110" s="66"/>
      <c r="O110" s="66"/>
      <c r="P110" s="130"/>
      <c r="Q110" s="130"/>
      <c r="R110" s="130"/>
      <c r="S110" s="130"/>
      <c r="T110" s="130"/>
    </row>
    <row r="111" spans="1:20" ht="16.5" customHeight="1" hidden="1">
      <c r="A111" s="84"/>
      <c r="B111" s="73">
        <v>7047</v>
      </c>
      <c r="C111" s="13"/>
      <c r="D111" s="14" t="s">
        <v>101</v>
      </c>
      <c r="E111" s="100" t="e">
        <f>+'fn 2004TP'!#REF!</f>
        <v>#REF!</v>
      </c>
      <c r="F111" s="91">
        <v>0</v>
      </c>
      <c r="G111" s="90" t="e">
        <f t="shared" si="12"/>
        <v>#REF!</v>
      </c>
      <c r="H111" s="66"/>
      <c r="I111" s="100"/>
      <c r="J111" s="66"/>
      <c r="K111" s="246" t="e">
        <f t="shared" si="13"/>
        <v>#REF!</v>
      </c>
      <c r="L111" s="246" t="e">
        <f t="shared" si="14"/>
        <v>#REF!</v>
      </c>
      <c r="M111" s="66"/>
      <c r="N111" s="66"/>
      <c r="O111" s="66"/>
      <c r="P111" s="130"/>
      <c r="Q111" s="130"/>
      <c r="R111" s="130"/>
      <c r="S111" s="130"/>
      <c r="T111" s="130"/>
    </row>
    <row r="112" spans="1:20" ht="16.5" customHeight="1" hidden="1">
      <c r="A112" s="84"/>
      <c r="B112" s="73"/>
      <c r="C112" s="13"/>
      <c r="D112" s="14"/>
      <c r="E112" s="100" t="e">
        <f>+'fn 2004TP'!#REF!</f>
        <v>#REF!</v>
      </c>
      <c r="F112" s="91">
        <v>0</v>
      </c>
      <c r="G112" s="90" t="e">
        <f t="shared" si="12"/>
        <v>#REF!</v>
      </c>
      <c r="H112" s="66"/>
      <c r="I112" s="100"/>
      <c r="J112" s="66"/>
      <c r="K112" s="246" t="e">
        <f t="shared" si="13"/>
        <v>#REF!</v>
      </c>
      <c r="L112" s="246" t="e">
        <f t="shared" si="14"/>
        <v>#REF!</v>
      </c>
      <c r="M112" s="66"/>
      <c r="N112" s="66"/>
      <c r="O112" s="66"/>
      <c r="P112" s="130"/>
      <c r="Q112" s="130"/>
      <c r="R112" s="130"/>
      <c r="S112" s="130"/>
      <c r="T112" s="130"/>
    </row>
    <row r="113" spans="1:20" ht="16.5" customHeight="1" hidden="1">
      <c r="A113" s="84"/>
      <c r="B113" s="169">
        <v>705</v>
      </c>
      <c r="C113" s="170" t="s">
        <v>5</v>
      </c>
      <c r="D113" s="171" t="s">
        <v>102</v>
      </c>
      <c r="E113" s="100" t="e">
        <f>+'fn 2004TP'!#REF!</f>
        <v>#REF!</v>
      </c>
      <c r="F113" s="91">
        <v>0</v>
      </c>
      <c r="G113" s="90" t="e">
        <f t="shared" si="12"/>
        <v>#REF!</v>
      </c>
      <c r="H113" s="66"/>
      <c r="I113" s="100">
        <v>0</v>
      </c>
      <c r="J113" s="66">
        <f>SUM(J114:J120)</f>
        <v>0</v>
      </c>
      <c r="K113" s="246" t="e">
        <f t="shared" si="13"/>
        <v>#REF!</v>
      </c>
      <c r="L113" s="246" t="e">
        <f t="shared" si="14"/>
        <v>#REF!</v>
      </c>
      <c r="M113" s="66">
        <f>SUM(M114:M120)</f>
        <v>0</v>
      </c>
      <c r="N113" s="66"/>
      <c r="O113" s="66"/>
      <c r="P113" s="130"/>
      <c r="Q113" s="130"/>
      <c r="R113" s="130"/>
      <c r="S113" s="130"/>
      <c r="T113" s="130"/>
    </row>
    <row r="114" spans="1:20" ht="16.5" customHeight="1" hidden="1">
      <c r="A114" s="84"/>
      <c r="B114" s="73">
        <v>7050</v>
      </c>
      <c r="C114" s="13"/>
      <c r="D114" s="14" t="s">
        <v>103</v>
      </c>
      <c r="E114" s="100" t="e">
        <f>+'fn 2004TP'!#REF!</f>
        <v>#REF!</v>
      </c>
      <c r="F114" s="91">
        <v>0</v>
      </c>
      <c r="G114" s="90" t="e">
        <f t="shared" si="12"/>
        <v>#REF!</v>
      </c>
      <c r="H114" s="66"/>
      <c r="I114" s="100"/>
      <c r="J114" s="66"/>
      <c r="K114" s="246" t="e">
        <f t="shared" si="13"/>
        <v>#REF!</v>
      </c>
      <c r="L114" s="246" t="e">
        <f t="shared" si="14"/>
        <v>#REF!</v>
      </c>
      <c r="M114" s="66"/>
      <c r="N114" s="66"/>
      <c r="O114" s="66"/>
      <c r="P114" s="130"/>
      <c r="Q114" s="130"/>
      <c r="R114" s="130"/>
      <c r="S114" s="130"/>
      <c r="T114" s="130"/>
    </row>
    <row r="115" spans="1:20" ht="16.5" customHeight="1" hidden="1">
      <c r="A115" s="84"/>
      <c r="B115" s="73">
        <v>7051</v>
      </c>
      <c r="C115" s="13"/>
      <c r="D115" s="14" t="s">
        <v>104</v>
      </c>
      <c r="E115" s="100" t="e">
        <f>+'fn 2004TP'!#REF!</f>
        <v>#REF!</v>
      </c>
      <c r="F115" s="91">
        <v>0</v>
      </c>
      <c r="G115" s="90" t="e">
        <f t="shared" si="12"/>
        <v>#REF!</v>
      </c>
      <c r="H115" s="66"/>
      <c r="I115" s="100"/>
      <c r="J115" s="66"/>
      <c r="K115" s="246" t="e">
        <f t="shared" si="13"/>
        <v>#REF!</v>
      </c>
      <c r="L115" s="246" t="e">
        <f t="shared" si="14"/>
        <v>#REF!</v>
      </c>
      <c r="M115" s="66"/>
      <c r="N115" s="66"/>
      <c r="O115" s="66"/>
      <c r="P115" s="130"/>
      <c r="Q115" s="130"/>
      <c r="R115" s="130"/>
      <c r="S115" s="130"/>
      <c r="T115" s="130"/>
    </row>
    <row r="116" spans="1:20" ht="16.5" customHeight="1" hidden="1">
      <c r="A116" s="84"/>
      <c r="B116" s="73">
        <v>7052</v>
      </c>
      <c r="C116" s="13"/>
      <c r="D116" s="14" t="s">
        <v>105</v>
      </c>
      <c r="E116" s="100" t="e">
        <f>+'fn 2004TP'!#REF!</f>
        <v>#REF!</v>
      </c>
      <c r="F116" s="91">
        <v>0</v>
      </c>
      <c r="G116" s="90" t="e">
        <f t="shared" si="12"/>
        <v>#REF!</v>
      </c>
      <c r="H116" s="66"/>
      <c r="I116" s="100"/>
      <c r="J116" s="66"/>
      <c r="K116" s="246" t="e">
        <f t="shared" si="13"/>
        <v>#REF!</v>
      </c>
      <c r="L116" s="246" t="e">
        <f t="shared" si="14"/>
        <v>#REF!</v>
      </c>
      <c r="M116" s="66"/>
      <c r="N116" s="66"/>
      <c r="O116" s="66"/>
      <c r="P116" s="130"/>
      <c r="Q116" s="130"/>
      <c r="R116" s="130"/>
      <c r="S116" s="130"/>
      <c r="T116" s="130"/>
    </row>
    <row r="117" spans="1:20" ht="16.5" customHeight="1" hidden="1">
      <c r="A117" s="84"/>
      <c r="B117" s="73">
        <v>7053</v>
      </c>
      <c r="C117" s="13"/>
      <c r="D117" s="14" t="s">
        <v>106</v>
      </c>
      <c r="E117" s="100" t="e">
        <f>+'fn 2004TP'!#REF!</f>
        <v>#REF!</v>
      </c>
      <c r="F117" s="91">
        <v>0</v>
      </c>
      <c r="G117" s="90" t="e">
        <f t="shared" si="12"/>
        <v>#REF!</v>
      </c>
      <c r="H117" s="66"/>
      <c r="I117" s="100"/>
      <c r="J117" s="66"/>
      <c r="K117" s="246" t="e">
        <f t="shared" si="13"/>
        <v>#REF!</v>
      </c>
      <c r="L117" s="246" t="e">
        <f t="shared" si="14"/>
        <v>#REF!</v>
      </c>
      <c r="M117" s="66"/>
      <c r="N117" s="66"/>
      <c r="O117" s="66"/>
      <c r="P117" s="130"/>
      <c r="Q117" s="130"/>
      <c r="R117" s="130"/>
      <c r="S117" s="130"/>
      <c r="T117" s="130"/>
    </row>
    <row r="118" spans="1:20" ht="16.5" customHeight="1" hidden="1">
      <c r="A118" s="84"/>
      <c r="B118" s="73">
        <v>7054</v>
      </c>
      <c r="C118" s="13"/>
      <c r="D118" s="14" t="s">
        <v>107</v>
      </c>
      <c r="E118" s="100" t="e">
        <f>+'fn 2004TP'!#REF!</f>
        <v>#REF!</v>
      </c>
      <c r="F118" s="91">
        <v>0</v>
      </c>
      <c r="G118" s="90" t="e">
        <f t="shared" si="12"/>
        <v>#REF!</v>
      </c>
      <c r="H118" s="66"/>
      <c r="I118" s="100"/>
      <c r="J118" s="66"/>
      <c r="K118" s="246" t="e">
        <f t="shared" si="13"/>
        <v>#REF!</v>
      </c>
      <c r="L118" s="246" t="e">
        <f t="shared" si="14"/>
        <v>#REF!</v>
      </c>
      <c r="M118" s="66"/>
      <c r="N118" s="66"/>
      <c r="O118" s="66"/>
      <c r="P118" s="130"/>
      <c r="Q118" s="130"/>
      <c r="R118" s="130"/>
      <c r="S118" s="130"/>
      <c r="T118" s="130"/>
    </row>
    <row r="119" spans="1:20" ht="16.5" customHeight="1" hidden="1">
      <c r="A119" s="84"/>
      <c r="B119" s="73">
        <v>7055</v>
      </c>
      <c r="C119" s="13"/>
      <c r="D119" s="14" t="s">
        <v>108</v>
      </c>
      <c r="E119" s="100" t="e">
        <f>+'fn 2004TP'!#REF!</f>
        <v>#REF!</v>
      </c>
      <c r="F119" s="91">
        <v>0</v>
      </c>
      <c r="G119" s="90" t="e">
        <f t="shared" si="12"/>
        <v>#REF!</v>
      </c>
      <c r="H119" s="66"/>
      <c r="I119" s="100"/>
      <c r="J119" s="66"/>
      <c r="K119" s="246" t="e">
        <f t="shared" si="13"/>
        <v>#REF!</v>
      </c>
      <c r="L119" s="246" t="e">
        <f t="shared" si="14"/>
        <v>#REF!</v>
      </c>
      <c r="M119" s="66"/>
      <c r="N119" s="66"/>
      <c r="O119" s="66"/>
      <c r="P119" s="130"/>
      <c r="Q119" s="130"/>
      <c r="R119" s="130"/>
      <c r="S119" s="130"/>
      <c r="T119" s="130"/>
    </row>
    <row r="120" spans="1:20" ht="16.5" customHeight="1" hidden="1">
      <c r="A120" s="84"/>
      <c r="B120" s="73">
        <v>7056</v>
      </c>
      <c r="C120" s="13"/>
      <c r="D120" s="14" t="s">
        <v>109</v>
      </c>
      <c r="E120" s="100" t="e">
        <f>+'fn 2004TP'!#REF!</f>
        <v>#REF!</v>
      </c>
      <c r="F120" s="91">
        <v>0</v>
      </c>
      <c r="G120" s="90" t="e">
        <f t="shared" si="12"/>
        <v>#REF!</v>
      </c>
      <c r="H120" s="66"/>
      <c r="I120" s="100"/>
      <c r="J120" s="66"/>
      <c r="K120" s="246" t="e">
        <f t="shared" si="13"/>
        <v>#REF!</v>
      </c>
      <c r="L120" s="246" t="e">
        <f t="shared" si="14"/>
        <v>#REF!</v>
      </c>
      <c r="M120" s="66"/>
      <c r="N120" s="66"/>
      <c r="O120" s="66"/>
      <c r="P120" s="130"/>
      <c r="Q120" s="130"/>
      <c r="R120" s="130"/>
      <c r="S120" s="130"/>
      <c r="T120" s="130"/>
    </row>
    <row r="121" spans="1:20" ht="16.5" customHeight="1" hidden="1">
      <c r="A121" s="84"/>
      <c r="B121" s="73"/>
      <c r="C121" s="13"/>
      <c r="D121" s="14"/>
      <c r="E121" s="100" t="e">
        <f>+'fn 2004TP'!#REF!</f>
        <v>#REF!</v>
      </c>
      <c r="F121" s="91">
        <v>0</v>
      </c>
      <c r="G121" s="90" t="e">
        <f t="shared" si="12"/>
        <v>#REF!</v>
      </c>
      <c r="H121" s="66"/>
      <c r="I121" s="100"/>
      <c r="J121" s="66"/>
      <c r="K121" s="246" t="e">
        <f t="shared" si="13"/>
        <v>#REF!</v>
      </c>
      <c r="L121" s="246" t="e">
        <f t="shared" si="14"/>
        <v>#REF!</v>
      </c>
      <c r="M121" s="66"/>
      <c r="N121" s="66"/>
      <c r="O121" s="66"/>
      <c r="P121" s="130"/>
      <c r="Q121" s="130"/>
      <c r="R121" s="130"/>
      <c r="S121" s="130"/>
      <c r="T121" s="130"/>
    </row>
    <row r="122" spans="1:20" ht="16.5" customHeight="1" hidden="1">
      <c r="A122" s="84"/>
      <c r="B122" s="72">
        <v>706</v>
      </c>
      <c r="C122" s="8"/>
      <c r="D122" s="9" t="s">
        <v>110</v>
      </c>
      <c r="E122" s="100" t="e">
        <f>+'fn 2004TP'!#REF!</f>
        <v>#REF!</v>
      </c>
      <c r="F122" s="91">
        <v>0</v>
      </c>
      <c r="G122" s="90" t="e">
        <f t="shared" si="12"/>
        <v>#REF!</v>
      </c>
      <c r="H122" s="66"/>
      <c r="I122" s="100">
        <v>0</v>
      </c>
      <c r="J122" s="66">
        <f>J123</f>
        <v>0</v>
      </c>
      <c r="K122" s="246" t="e">
        <f t="shared" si="13"/>
        <v>#REF!</v>
      </c>
      <c r="L122" s="246" t="e">
        <f t="shared" si="14"/>
        <v>#REF!</v>
      </c>
      <c r="M122" s="66">
        <f>M123</f>
        <v>0</v>
      </c>
      <c r="N122" s="66"/>
      <c r="O122" s="66"/>
      <c r="P122" s="130"/>
      <c r="Q122" s="130"/>
      <c r="R122" s="130"/>
      <c r="S122" s="130"/>
      <c r="T122" s="130"/>
    </row>
    <row r="123" spans="1:20" ht="16.5" customHeight="1" hidden="1">
      <c r="A123" s="84"/>
      <c r="B123" s="73">
        <v>7060</v>
      </c>
      <c r="C123" s="13"/>
      <c r="D123" s="14" t="s">
        <v>111</v>
      </c>
      <c r="E123" s="100" t="e">
        <f>+'fn 2004TP'!#REF!</f>
        <v>#REF!</v>
      </c>
      <c r="F123" s="91">
        <v>0</v>
      </c>
      <c r="G123" s="90" t="e">
        <f t="shared" si="12"/>
        <v>#REF!</v>
      </c>
      <c r="H123" s="66"/>
      <c r="I123" s="100"/>
      <c r="J123" s="66"/>
      <c r="K123" s="246" t="e">
        <f t="shared" si="13"/>
        <v>#REF!</v>
      </c>
      <c r="L123" s="246" t="e">
        <f t="shared" si="14"/>
        <v>#REF!</v>
      </c>
      <c r="M123" s="66"/>
      <c r="N123" s="66"/>
      <c r="O123" s="66"/>
      <c r="P123" s="130"/>
      <c r="Q123" s="130"/>
      <c r="R123" s="130"/>
      <c r="S123" s="130"/>
      <c r="T123" s="130"/>
    </row>
    <row r="124" spans="1:20" ht="15">
      <c r="A124" s="84"/>
      <c r="B124" s="73"/>
      <c r="C124" s="13"/>
      <c r="D124" s="14"/>
      <c r="E124" s="100"/>
      <c r="F124" s="91"/>
      <c r="G124" s="90"/>
      <c r="H124" s="66"/>
      <c r="I124" s="100"/>
      <c r="J124" s="66"/>
      <c r="K124" s="246"/>
      <c r="L124" s="246"/>
      <c r="M124" s="66"/>
      <c r="N124" s="66"/>
      <c r="O124" s="66"/>
      <c r="P124" s="130"/>
      <c r="Q124" s="130"/>
      <c r="R124" s="130"/>
      <c r="S124" s="130"/>
      <c r="T124" s="130"/>
    </row>
    <row r="125" spans="1:20" ht="15.75">
      <c r="A125" s="84"/>
      <c r="B125" s="72">
        <v>71</v>
      </c>
      <c r="C125" s="8"/>
      <c r="D125" s="9" t="s">
        <v>112</v>
      </c>
      <c r="E125" s="101">
        <f>+E128+E138+E141+E144</f>
        <v>4531345.41158</v>
      </c>
      <c r="F125" s="101">
        <f>F128+F134+F138+F141+F144</f>
        <v>3755880.5666666664</v>
      </c>
      <c r="G125" s="90">
        <f>+F125/E125*100</f>
        <v>82.8866534223675</v>
      </c>
      <c r="H125" s="90">
        <f>+G125/H$26*100-100</f>
        <v>-22.099009941383926</v>
      </c>
      <c r="I125" s="101">
        <v>3943120.1</v>
      </c>
      <c r="J125" s="101">
        <f>J128+J134+J138+J141+J144</f>
        <v>4781705.25</v>
      </c>
      <c r="K125" s="246">
        <f>+J125/E125*100</f>
        <v>105.52506630327048</v>
      </c>
      <c r="L125" s="246">
        <f>+K125/$L$26*100-100</f>
        <v>-0.25986171713566364</v>
      </c>
      <c r="M125" s="101">
        <f>M128+M134+M138+M141+M144</f>
        <v>4864092.445875</v>
      </c>
      <c r="N125" s="90">
        <f>+M125/J125*100</f>
        <v>101.7229668406475</v>
      </c>
      <c r="O125" s="90">
        <f>+N125/O$26*100-100</f>
        <v>-3.0286302758365196</v>
      </c>
      <c r="P125" s="130"/>
      <c r="Q125" s="130"/>
      <c r="R125" s="130"/>
      <c r="S125" s="130"/>
      <c r="T125" s="130"/>
    </row>
    <row r="126" spans="1:20" ht="15.75">
      <c r="A126" s="86"/>
      <c r="B126" s="167"/>
      <c r="C126" s="168"/>
      <c r="D126" s="251" t="s">
        <v>48</v>
      </c>
      <c r="E126" s="252">
        <f aca="true" t="shared" si="15" ref="E126:J126">+E125/E$562*100</f>
        <v>0.08574783904062086</v>
      </c>
      <c r="F126" s="252">
        <f t="shared" si="15"/>
        <v>0.07444758308556326</v>
      </c>
      <c r="G126" s="252">
        <f t="shared" si="15"/>
        <v>86.82152683788989</v>
      </c>
      <c r="H126" s="252" t="e">
        <f t="shared" si="15"/>
        <v>#DIV/0!</v>
      </c>
      <c r="I126" s="252">
        <f t="shared" si="15"/>
        <v>0.07149680150858552</v>
      </c>
      <c r="J126" s="252">
        <f t="shared" si="15"/>
        <v>0.08392932178400295</v>
      </c>
      <c r="K126" s="98"/>
      <c r="L126" s="98"/>
      <c r="M126" s="252">
        <f>+M125/M$562*100</f>
        <v>0.07862048952406736</v>
      </c>
      <c r="N126" s="99"/>
      <c r="O126" s="99"/>
      <c r="P126" s="130"/>
      <c r="Q126" s="130"/>
      <c r="R126" s="130"/>
      <c r="S126" s="130"/>
      <c r="T126" s="130"/>
    </row>
    <row r="127" spans="1:20" ht="15">
      <c r="A127" s="84"/>
      <c r="B127" s="73"/>
      <c r="C127" s="13"/>
      <c r="D127" s="14"/>
      <c r="E127" s="100"/>
      <c r="F127" s="91"/>
      <c r="G127" s="90"/>
      <c r="H127" s="66"/>
      <c r="I127" s="100"/>
      <c r="J127" s="66"/>
      <c r="K127" s="246"/>
      <c r="L127" s="246"/>
      <c r="M127" s="66"/>
      <c r="N127" s="66"/>
      <c r="O127" s="66"/>
      <c r="P127" s="130"/>
      <c r="Q127" s="130"/>
      <c r="R127" s="130"/>
      <c r="S127" s="130"/>
      <c r="T127" s="130"/>
    </row>
    <row r="128" spans="1:20" ht="15.75">
      <c r="A128" s="84"/>
      <c r="B128" s="72">
        <v>710</v>
      </c>
      <c r="C128" s="8"/>
      <c r="D128" s="9" t="s">
        <v>113</v>
      </c>
      <c r="E128" s="101">
        <f>SUM(E129:E132)</f>
        <v>188774.53443</v>
      </c>
      <c r="F128" s="101">
        <f>SUM(F129:F132)</f>
        <v>218110.75866666666</v>
      </c>
      <c r="G128" s="90">
        <f>+F128/E128*100</f>
        <v>115.54035046371412</v>
      </c>
      <c r="H128" s="90">
        <f>+G128/H$26*100-100</f>
        <v>8.590554947099733</v>
      </c>
      <c r="I128" s="101">
        <v>190543.51799999998</v>
      </c>
      <c r="J128" s="101">
        <f>SUM(J129:J132)</f>
        <v>187369</v>
      </c>
      <c r="K128" s="246">
        <f>+J128/E128*100</f>
        <v>99.25544277767975</v>
      </c>
      <c r="L128" s="246">
        <f>+K128/$L$26*100-100</f>
        <v>-6.1857818736486365</v>
      </c>
      <c r="M128" s="101">
        <f>SUM(M129:M132)</f>
        <v>162210</v>
      </c>
      <c r="N128" s="90">
        <f>+M128/J128*100</f>
        <v>86.57248530973641</v>
      </c>
      <c r="O128" s="90">
        <f>+N128/O$26*100-100</f>
        <v>-17.471415338668834</v>
      </c>
      <c r="P128" s="130"/>
      <c r="Q128" s="130"/>
      <c r="R128" s="130"/>
      <c r="S128" s="130"/>
      <c r="T128" s="130"/>
    </row>
    <row r="129" spans="1:20" ht="15">
      <c r="A129" s="84"/>
      <c r="B129" s="73">
        <v>7100</v>
      </c>
      <c r="C129" s="47"/>
      <c r="D129" s="14" t="s">
        <v>114</v>
      </c>
      <c r="E129" s="100"/>
      <c r="F129" s="91"/>
      <c r="G129" s="90"/>
      <c r="H129" s="66"/>
      <c r="I129" s="100"/>
      <c r="J129" s="66"/>
      <c r="K129" s="246"/>
      <c r="L129" s="246"/>
      <c r="M129" s="66"/>
      <c r="N129" s="66"/>
      <c r="O129" s="66"/>
      <c r="P129" s="130"/>
      <c r="Q129" s="130"/>
      <c r="R129" s="130"/>
      <c r="S129" s="130"/>
      <c r="T129" s="130"/>
    </row>
    <row r="130" spans="1:20" ht="15">
      <c r="A130" s="84"/>
      <c r="B130" s="73">
        <v>7101</v>
      </c>
      <c r="C130" s="20"/>
      <c r="D130" s="14" t="s">
        <v>115</v>
      </c>
      <c r="E130" s="100"/>
      <c r="F130" s="91"/>
      <c r="G130" s="90"/>
      <c r="H130" s="90" t="s">
        <v>5</v>
      </c>
      <c r="I130" s="100">
        <v>0</v>
      </c>
      <c r="J130" s="66"/>
      <c r="K130" s="246"/>
      <c r="L130" s="246"/>
      <c r="M130" s="66">
        <v>0</v>
      </c>
      <c r="N130" s="90" t="s">
        <v>5</v>
      </c>
      <c r="O130" s="90" t="s">
        <v>5</v>
      </c>
      <c r="P130" s="130"/>
      <c r="Q130" s="130"/>
      <c r="R130" s="130"/>
      <c r="S130" s="130"/>
      <c r="T130" s="130"/>
    </row>
    <row r="131" spans="1:20" ht="15">
      <c r="A131" s="84"/>
      <c r="B131" s="73">
        <v>7102</v>
      </c>
      <c r="C131" s="20"/>
      <c r="D131" s="14" t="s">
        <v>116</v>
      </c>
      <c r="E131" s="100">
        <v>60692.92728</v>
      </c>
      <c r="F131" s="91">
        <v>50000</v>
      </c>
      <c r="G131" s="90">
        <f>+F131/E131*100</f>
        <v>82.38192198133831</v>
      </c>
      <c r="H131" s="90">
        <f>+G131/H$26*100-100</f>
        <v>-22.573381596486556</v>
      </c>
      <c r="I131" s="100">
        <v>54315</v>
      </c>
      <c r="J131" s="66">
        <f>+'[2]REALJAN-JUN,PROJ  (2)'!AR140</f>
        <v>52210</v>
      </c>
      <c r="K131" s="246">
        <f>+J131/E131*100</f>
        <v>86.02320293291346</v>
      </c>
      <c r="L131" s="246">
        <f>+K131/$L$26*100-100</f>
        <v>-18.692624827113917</v>
      </c>
      <c r="M131" s="66">
        <f>+J131</f>
        <v>52210</v>
      </c>
      <c r="N131" s="90">
        <f>+M131/J131*100</f>
        <v>100</v>
      </c>
      <c r="O131" s="90">
        <f>+N131/O$26*100-100</f>
        <v>-4.671115347950433</v>
      </c>
      <c r="P131" s="130"/>
      <c r="Q131" s="130"/>
      <c r="R131" s="130"/>
      <c r="S131" s="130"/>
      <c r="T131" s="130"/>
    </row>
    <row r="132" spans="1:20" ht="15">
      <c r="A132" s="84"/>
      <c r="B132" s="73">
        <v>7103</v>
      </c>
      <c r="C132" s="20"/>
      <c r="D132" s="14" t="s">
        <v>117</v>
      </c>
      <c r="E132" s="100">
        <v>128081.60715000001</v>
      </c>
      <c r="F132" s="66">
        <v>168110.75866666666</v>
      </c>
      <c r="G132" s="90">
        <f>+F132/E132*100</f>
        <v>131.25284918527558</v>
      </c>
      <c r="H132" s="90">
        <f>+G132/H$26*100-100</f>
        <v>23.35794096360486</v>
      </c>
      <c r="I132" s="100">
        <v>136228.51799999998</v>
      </c>
      <c r="J132" s="66">
        <f>+'[2]REALJAN-JUN,PROJ  (2)'!AR141</f>
        <v>135159</v>
      </c>
      <c r="K132" s="246">
        <f>+J132/E132*100</f>
        <v>105.5256902278806</v>
      </c>
      <c r="L132" s="246">
        <f>+K132/$L$26*100-100</f>
        <v>-0.2592719963321315</v>
      </c>
      <c r="M132" s="66">
        <v>110000</v>
      </c>
      <c r="N132" s="90">
        <f>+M132/J132*100</f>
        <v>81.38562729821913</v>
      </c>
      <c r="O132" s="90">
        <f>+N132/O$26*100-100</f>
        <v>-22.41598922953372</v>
      </c>
      <c r="P132" s="130"/>
      <c r="Q132" s="130"/>
      <c r="R132" s="130"/>
      <c r="S132" s="130"/>
      <c r="T132" s="130"/>
    </row>
    <row r="133" spans="1:20" ht="15">
      <c r="A133" s="84"/>
      <c r="B133" s="73"/>
      <c r="C133" s="20"/>
      <c r="D133" s="14"/>
      <c r="E133" s="100"/>
      <c r="F133" s="91"/>
      <c r="G133" s="90"/>
      <c r="H133" s="66"/>
      <c r="I133" s="100"/>
      <c r="J133" s="66"/>
      <c r="K133" s="246"/>
      <c r="L133" s="246"/>
      <c r="M133" s="66"/>
      <c r="N133" s="66"/>
      <c r="O133" s="66"/>
      <c r="P133" s="130"/>
      <c r="Q133" s="130"/>
      <c r="R133" s="130"/>
      <c r="S133" s="130"/>
      <c r="T133" s="130"/>
    </row>
    <row r="134" spans="1:20" ht="16.5" customHeight="1" hidden="1">
      <c r="A134" s="84"/>
      <c r="B134" s="72">
        <v>711</v>
      </c>
      <c r="C134" s="49"/>
      <c r="D134" s="9" t="s">
        <v>118</v>
      </c>
      <c r="E134" s="100" t="e">
        <f>+'fn 2004TP'!#REF!</f>
        <v>#REF!</v>
      </c>
      <c r="F134" s="91">
        <v>0</v>
      </c>
      <c r="G134" s="90" t="e">
        <f aca="true" t="shared" si="16" ref="G134:G139">+F134/E134*100</f>
        <v>#REF!</v>
      </c>
      <c r="H134" s="66"/>
      <c r="I134" s="100">
        <v>0</v>
      </c>
      <c r="J134" s="66">
        <f>J135+J136</f>
        <v>0</v>
      </c>
      <c r="K134" s="246" t="e">
        <f aca="true" t="shared" si="17" ref="K134:K139">+J134/E134*100</f>
        <v>#REF!</v>
      </c>
      <c r="L134" s="246" t="e">
        <f aca="true" t="shared" si="18" ref="L134:L139">+K134/$L$26*100-100</f>
        <v>#REF!</v>
      </c>
      <c r="M134" s="66">
        <f>M135+M136</f>
        <v>0</v>
      </c>
      <c r="N134" s="66"/>
      <c r="O134" s="66"/>
      <c r="P134" s="130"/>
      <c r="Q134" s="130"/>
      <c r="R134" s="130"/>
      <c r="S134" s="130"/>
      <c r="T134" s="130"/>
    </row>
    <row r="135" spans="1:20" ht="16.5" customHeight="1" hidden="1">
      <c r="A135" s="84"/>
      <c r="B135" s="73">
        <v>7110</v>
      </c>
      <c r="C135" s="20"/>
      <c r="D135" s="14" t="s">
        <v>119</v>
      </c>
      <c r="E135" s="100" t="e">
        <f>+'fn 2004TP'!#REF!</f>
        <v>#REF!</v>
      </c>
      <c r="F135" s="91">
        <v>0</v>
      </c>
      <c r="G135" s="90" t="e">
        <f t="shared" si="16"/>
        <v>#REF!</v>
      </c>
      <c r="H135" s="66"/>
      <c r="I135" s="100">
        <v>0</v>
      </c>
      <c r="J135" s="66">
        <v>0</v>
      </c>
      <c r="K135" s="246" t="e">
        <f t="shared" si="17"/>
        <v>#REF!</v>
      </c>
      <c r="L135" s="246" t="e">
        <f t="shared" si="18"/>
        <v>#REF!</v>
      </c>
      <c r="M135" s="66">
        <v>0</v>
      </c>
      <c r="N135" s="66"/>
      <c r="O135" s="66"/>
      <c r="P135" s="130"/>
      <c r="Q135" s="130"/>
      <c r="R135" s="130"/>
      <c r="S135" s="130"/>
      <c r="T135" s="130"/>
    </row>
    <row r="136" spans="1:20" ht="16.5" customHeight="1" hidden="1">
      <c r="A136" s="84"/>
      <c r="B136" s="73">
        <v>7111</v>
      </c>
      <c r="C136" s="20"/>
      <c r="D136" s="14" t="s">
        <v>120</v>
      </c>
      <c r="E136" s="100" t="e">
        <f>+'fn 2004TP'!#REF!</f>
        <v>#REF!</v>
      </c>
      <c r="F136" s="91">
        <v>0</v>
      </c>
      <c r="G136" s="90" t="e">
        <f t="shared" si="16"/>
        <v>#REF!</v>
      </c>
      <c r="H136" s="66"/>
      <c r="I136" s="100">
        <v>0</v>
      </c>
      <c r="J136" s="66">
        <v>0</v>
      </c>
      <c r="K136" s="246" t="e">
        <f t="shared" si="17"/>
        <v>#REF!</v>
      </c>
      <c r="L136" s="246" t="e">
        <f t="shared" si="18"/>
        <v>#REF!</v>
      </c>
      <c r="M136" s="66">
        <v>0</v>
      </c>
      <c r="N136" s="66"/>
      <c r="O136" s="66"/>
      <c r="P136" s="130"/>
      <c r="Q136" s="130"/>
      <c r="R136" s="130"/>
      <c r="S136" s="130"/>
      <c r="T136" s="130"/>
    </row>
    <row r="137" spans="1:20" ht="16.5" customHeight="1" hidden="1">
      <c r="A137" s="84"/>
      <c r="B137" s="73"/>
      <c r="C137" s="20"/>
      <c r="D137" s="14"/>
      <c r="E137" s="100" t="e">
        <f>+'fn 2004TP'!#REF!</f>
        <v>#REF!</v>
      </c>
      <c r="F137" s="91">
        <v>0</v>
      </c>
      <c r="G137" s="90" t="e">
        <f t="shared" si="16"/>
        <v>#REF!</v>
      </c>
      <c r="H137" s="66"/>
      <c r="I137" s="100"/>
      <c r="J137" s="66"/>
      <c r="K137" s="246" t="e">
        <f t="shared" si="17"/>
        <v>#REF!</v>
      </c>
      <c r="L137" s="246" t="e">
        <f t="shared" si="18"/>
        <v>#REF!</v>
      </c>
      <c r="M137" s="66"/>
      <c r="N137" s="66"/>
      <c r="O137" s="66"/>
      <c r="P137" s="130"/>
      <c r="Q137" s="130"/>
      <c r="R137" s="130"/>
      <c r="S137" s="130"/>
      <c r="T137" s="130"/>
    </row>
    <row r="138" spans="1:20" ht="15.75">
      <c r="A138" s="84"/>
      <c r="B138" s="72">
        <v>712</v>
      </c>
      <c r="C138" s="49"/>
      <c r="D138" s="9" t="s">
        <v>121</v>
      </c>
      <c r="E138" s="66">
        <f>E139</f>
        <v>61211.416979999995</v>
      </c>
      <c r="F138" s="66">
        <f>F139</f>
        <v>0</v>
      </c>
      <c r="G138" s="90">
        <f t="shared" si="16"/>
        <v>0</v>
      </c>
      <c r="H138" s="66"/>
      <c r="I138" s="66">
        <v>0</v>
      </c>
      <c r="J138" s="66">
        <f>J139</f>
        <v>71780</v>
      </c>
      <c r="K138" s="246">
        <f t="shared" si="17"/>
        <v>117.26570555204292</v>
      </c>
      <c r="L138" s="246">
        <f t="shared" si="18"/>
        <v>10.837150805333565</v>
      </c>
      <c r="M138" s="66">
        <f>M139</f>
        <v>75297.22</v>
      </c>
      <c r="N138" s="90">
        <f>+M138/J138*100</f>
        <v>104.89999999999999</v>
      </c>
      <c r="O138" s="90">
        <f>+N138/O$26*100-100</f>
        <v>0</v>
      </c>
      <c r="P138" s="130"/>
      <c r="Q138" s="130"/>
      <c r="R138" s="130"/>
      <c r="S138" s="130"/>
      <c r="T138" s="130"/>
    </row>
    <row r="139" spans="1:20" ht="15">
      <c r="A139" s="84"/>
      <c r="B139" s="73">
        <v>7120</v>
      </c>
      <c r="C139" s="20"/>
      <c r="D139" s="14" t="s">
        <v>122</v>
      </c>
      <c r="E139" s="100">
        <v>61211.416979999995</v>
      </c>
      <c r="F139" s="91">
        <v>0</v>
      </c>
      <c r="G139" s="90">
        <f t="shared" si="16"/>
        <v>0</v>
      </c>
      <c r="H139" s="66"/>
      <c r="I139" s="100"/>
      <c r="J139" s="66">
        <f>+'[2]REALJAN-JUN,PROJ  (2)'!AR148</f>
        <v>71780</v>
      </c>
      <c r="K139" s="246">
        <f t="shared" si="17"/>
        <v>117.26570555204292</v>
      </c>
      <c r="L139" s="246">
        <f t="shared" si="18"/>
        <v>10.837150805333565</v>
      </c>
      <c r="M139" s="66">
        <f>+J139*M$29/100</f>
        <v>75297.22</v>
      </c>
      <c r="N139" s="90">
        <f>+M139/J139*100</f>
        <v>104.89999999999999</v>
      </c>
      <c r="O139" s="90">
        <f>+N139/O$26*100-100</f>
        <v>0</v>
      </c>
      <c r="P139" s="130"/>
      <c r="Q139" s="130"/>
      <c r="R139" s="130"/>
      <c r="S139" s="130"/>
      <c r="T139" s="130"/>
    </row>
    <row r="140" spans="1:20" ht="15">
      <c r="A140" s="84"/>
      <c r="B140" s="73"/>
      <c r="C140" s="20"/>
      <c r="D140" s="14"/>
      <c r="E140" s="100"/>
      <c r="F140" s="91"/>
      <c r="G140" s="90"/>
      <c r="H140" s="66"/>
      <c r="I140" s="100"/>
      <c r="J140" s="66"/>
      <c r="K140" s="246"/>
      <c r="L140" s="246"/>
      <c r="M140" s="66"/>
      <c r="N140" s="66"/>
      <c r="O140" s="66"/>
      <c r="P140" s="130"/>
      <c r="Q140" s="130"/>
      <c r="R140" s="130"/>
      <c r="S140" s="130"/>
      <c r="T140" s="130"/>
    </row>
    <row r="141" spans="1:20" ht="15.75">
      <c r="A141" s="84"/>
      <c r="B141" s="72">
        <v>713</v>
      </c>
      <c r="C141" s="48"/>
      <c r="D141" s="9" t="s">
        <v>123</v>
      </c>
      <c r="E141" s="101">
        <f>E142</f>
        <v>1667846.40924</v>
      </c>
      <c r="F141" s="101">
        <f>F142</f>
        <v>1550457.608</v>
      </c>
      <c r="G141" s="90">
        <f>+F141/E141*100</f>
        <v>92.96165398746211</v>
      </c>
      <c r="H141" s="90">
        <f>+G141/H$26*100-100</f>
        <v>-12.63002444787395</v>
      </c>
      <c r="I141" s="101">
        <v>1630912.372</v>
      </c>
      <c r="J141" s="101">
        <f>J142</f>
        <v>1717623.875</v>
      </c>
      <c r="K141" s="246">
        <f>+J141/E141*100</f>
        <v>102.98453535554766</v>
      </c>
      <c r="L141" s="246">
        <f>+K141/$L$26*100-100</f>
        <v>-2.661119701750792</v>
      </c>
      <c r="M141" s="101">
        <f>M142</f>
        <v>1041300</v>
      </c>
      <c r="N141" s="90">
        <f>+M141/J141*100</f>
        <v>60.62444841132637</v>
      </c>
      <c r="O141" s="90">
        <f>+N141/O$26*100-100</f>
        <v>-42.2073895030254</v>
      </c>
      <c r="P141" s="130"/>
      <c r="Q141" s="130"/>
      <c r="R141" s="130"/>
      <c r="S141" s="130"/>
      <c r="T141" s="130"/>
    </row>
    <row r="142" spans="1:20" ht="15">
      <c r="A142" s="84"/>
      <c r="B142" s="73">
        <v>7130</v>
      </c>
      <c r="C142" s="13"/>
      <c r="D142" s="14" t="s">
        <v>124</v>
      </c>
      <c r="E142" s="100">
        <v>1667846.40924</v>
      </c>
      <c r="F142" s="66">
        <v>1550457.608</v>
      </c>
      <c r="G142" s="90">
        <f>+F142/E142*100</f>
        <v>92.96165398746211</v>
      </c>
      <c r="H142" s="90">
        <f>+G142/H$26*100-100</f>
        <v>-12.63002444787395</v>
      </c>
      <c r="I142" s="66">
        <v>1630912.372</v>
      </c>
      <c r="J142" s="66">
        <f>+'[2]REALJAN-JUN,PROJ  (2)'!AR151</f>
        <v>1717623.875</v>
      </c>
      <c r="K142" s="246">
        <f>+J142/E142*100</f>
        <v>102.98453535554766</v>
      </c>
      <c r="L142" s="246">
        <f>+K142/$L$26*100-100</f>
        <v>-2.661119701750792</v>
      </c>
      <c r="M142" s="66">
        <v>1041300</v>
      </c>
      <c r="N142" s="90">
        <f>+M142/J142*100</f>
        <v>60.62444841132637</v>
      </c>
      <c r="O142" s="90">
        <f>+N142/O$26*100-100</f>
        <v>-42.2073895030254</v>
      </c>
      <c r="P142" s="130"/>
      <c r="Q142" s="130"/>
      <c r="R142" s="130"/>
      <c r="S142" s="130"/>
      <c r="T142" s="130"/>
    </row>
    <row r="143" spans="1:20" ht="15">
      <c r="A143" s="84"/>
      <c r="B143" s="73"/>
      <c r="C143" s="13"/>
      <c r="D143" s="14"/>
      <c r="E143" s="100"/>
      <c r="F143" s="91"/>
      <c r="G143" s="90"/>
      <c r="H143" s="66"/>
      <c r="I143" s="100"/>
      <c r="J143" s="66"/>
      <c r="K143" s="246"/>
      <c r="L143" s="246"/>
      <c r="M143" s="66"/>
      <c r="N143" s="66"/>
      <c r="O143" s="66"/>
      <c r="P143" s="130"/>
      <c r="Q143" s="130"/>
      <c r="R143" s="130"/>
      <c r="S143" s="130"/>
      <c r="T143" s="130"/>
    </row>
    <row r="144" spans="1:20" ht="15.75">
      <c r="A144" s="84"/>
      <c r="B144" s="72">
        <v>714</v>
      </c>
      <c r="C144" s="8"/>
      <c r="D144" s="9" t="s">
        <v>125</v>
      </c>
      <c r="E144" s="101">
        <f>+E148</f>
        <v>2613513.05093</v>
      </c>
      <c r="F144" s="101">
        <f>F145+F148</f>
        <v>1987312.2</v>
      </c>
      <c r="G144" s="90">
        <f aca="true" t="shared" si="19" ref="G144:G152">+F144/E144*100</f>
        <v>76.03988047019047</v>
      </c>
      <c r="H144" s="90">
        <f>+G144/H$26*100-100</f>
        <v>-28.533946926512726</v>
      </c>
      <c r="I144" s="101">
        <v>2121664.21</v>
      </c>
      <c r="J144" s="101">
        <f>J145+J148</f>
        <v>2804932.375</v>
      </c>
      <c r="K144" s="246">
        <f aca="true" t="shared" si="20" ref="K144:K152">+J144/E144*100</f>
        <v>107.32421535074734</v>
      </c>
      <c r="L144" s="246">
        <f aca="true" t="shared" si="21" ref="L144:L152">+K144/$L$26*100-100</f>
        <v>1.4406572313302064</v>
      </c>
      <c r="M144" s="101">
        <f>M145+M148</f>
        <v>3585285.225875</v>
      </c>
      <c r="N144" s="90">
        <f>+M144/J144*100</f>
        <v>127.82073670760066</v>
      </c>
      <c r="O144" s="90">
        <f>+N144/O$26*100-100</f>
        <v>21.85008265738861</v>
      </c>
      <c r="P144" s="130"/>
      <c r="Q144" s="130"/>
      <c r="R144" s="130"/>
      <c r="S144" s="130"/>
      <c r="T144" s="130"/>
    </row>
    <row r="145" spans="1:20" ht="16.5" customHeight="1" hidden="1">
      <c r="A145" s="84"/>
      <c r="B145" s="73">
        <v>7140</v>
      </c>
      <c r="C145" s="13"/>
      <c r="D145" s="14" t="s">
        <v>126</v>
      </c>
      <c r="E145" s="100" t="e">
        <f>+'fn 2004TP'!#REF!</f>
        <v>#REF!</v>
      </c>
      <c r="F145" s="91">
        <v>0</v>
      </c>
      <c r="G145" s="90" t="e">
        <f t="shared" si="19"/>
        <v>#REF!</v>
      </c>
      <c r="H145" s="66"/>
      <c r="I145" s="100"/>
      <c r="J145" s="66"/>
      <c r="K145" s="246" t="e">
        <f t="shared" si="20"/>
        <v>#REF!</v>
      </c>
      <c r="L145" s="246" t="e">
        <f t="shared" si="21"/>
        <v>#REF!</v>
      </c>
      <c r="M145" s="66"/>
      <c r="N145" s="66"/>
      <c r="O145" s="66"/>
      <c r="P145" s="130"/>
      <c r="Q145" s="130"/>
      <c r="R145" s="130"/>
      <c r="S145" s="130"/>
      <c r="T145" s="130"/>
    </row>
    <row r="146" spans="1:20" ht="16.5" customHeight="1" hidden="1">
      <c r="A146" s="84"/>
      <c r="B146" s="73" t="s">
        <v>5</v>
      </c>
      <c r="C146" s="13"/>
      <c r="D146" s="14" t="s">
        <v>127</v>
      </c>
      <c r="E146" s="100" t="e">
        <f>+'fn 2004TP'!#REF!</f>
        <v>#REF!</v>
      </c>
      <c r="F146" s="91">
        <v>0</v>
      </c>
      <c r="G146" s="90" t="e">
        <f t="shared" si="19"/>
        <v>#REF!</v>
      </c>
      <c r="H146" s="66"/>
      <c r="I146" s="100"/>
      <c r="J146" s="66"/>
      <c r="K146" s="246" t="e">
        <f t="shared" si="20"/>
        <v>#REF!</v>
      </c>
      <c r="L146" s="246" t="e">
        <f t="shared" si="21"/>
        <v>#REF!</v>
      </c>
      <c r="M146" s="66"/>
      <c r="N146" s="66"/>
      <c r="O146" s="66"/>
      <c r="P146" s="130"/>
      <c r="Q146" s="130"/>
      <c r="R146" s="130"/>
      <c r="S146" s="130"/>
      <c r="T146" s="130"/>
    </row>
    <row r="147" spans="1:20" ht="16.5" customHeight="1" hidden="1">
      <c r="A147" s="86"/>
      <c r="B147" s="74"/>
      <c r="C147" s="15"/>
      <c r="D147" s="16"/>
      <c r="E147" s="100" t="e">
        <f>+'fn 2004TP'!#REF!</f>
        <v>#REF!</v>
      </c>
      <c r="F147" s="91">
        <v>0</v>
      </c>
      <c r="G147" s="90" t="e">
        <f t="shared" si="19"/>
        <v>#REF!</v>
      </c>
      <c r="H147" s="89"/>
      <c r="I147" s="100"/>
      <c r="J147" s="89"/>
      <c r="K147" s="246" t="e">
        <f t="shared" si="20"/>
        <v>#REF!</v>
      </c>
      <c r="L147" s="246" t="e">
        <f t="shared" si="21"/>
        <v>#REF!</v>
      </c>
      <c r="M147" s="89"/>
      <c r="N147" s="89"/>
      <c r="O147" s="89"/>
      <c r="P147" s="130"/>
      <c r="Q147" s="130"/>
      <c r="R147" s="130"/>
      <c r="S147" s="130"/>
      <c r="T147" s="130"/>
    </row>
    <row r="148" spans="1:20" ht="15">
      <c r="A148" s="84"/>
      <c r="B148" s="73">
        <v>7141</v>
      </c>
      <c r="C148" s="13"/>
      <c r="D148" s="14" t="s">
        <v>128</v>
      </c>
      <c r="E148" s="103">
        <f>+E149+E150+E151+E152</f>
        <v>2613513.05093</v>
      </c>
      <c r="F148" s="66">
        <v>1987312.2</v>
      </c>
      <c r="G148" s="90">
        <f t="shared" si="19"/>
        <v>76.03988047019047</v>
      </c>
      <c r="H148" s="90">
        <f>+G148/H$26*100-100</f>
        <v>-28.533946926512726</v>
      </c>
      <c r="I148" s="103">
        <v>2121664.21</v>
      </c>
      <c r="J148" s="66">
        <f>+J149+J150+J151+J152</f>
        <v>2804932.375</v>
      </c>
      <c r="K148" s="246">
        <f t="shared" si="20"/>
        <v>107.32421535074734</v>
      </c>
      <c r="L148" s="246">
        <f t="shared" si="21"/>
        <v>1.4406572313302064</v>
      </c>
      <c r="M148" s="66">
        <f>+M149+M150+M151+M152</f>
        <v>3585285.225875</v>
      </c>
      <c r="N148" s="90">
        <f>+M148/J148*100</f>
        <v>127.82073670760066</v>
      </c>
      <c r="O148" s="90">
        <f>+N148/O$26*100-100</f>
        <v>21.85008265738861</v>
      </c>
      <c r="P148" s="130"/>
      <c r="Q148" s="130"/>
      <c r="R148" s="130"/>
      <c r="S148" s="130"/>
      <c r="T148" s="130"/>
    </row>
    <row r="149" spans="1:20" ht="15">
      <c r="A149" s="84"/>
      <c r="B149" s="73">
        <v>714100</v>
      </c>
      <c r="C149" s="13"/>
      <c r="D149" s="14" t="s">
        <v>128</v>
      </c>
      <c r="E149" s="100">
        <v>20785.15208</v>
      </c>
      <c r="F149" s="66">
        <v>19089.224000000002</v>
      </c>
      <c r="G149" s="90">
        <f t="shared" si="19"/>
        <v>91.84067514410029</v>
      </c>
      <c r="H149" s="90">
        <f>+G149/H$26*100-100</f>
        <v>-13.683575992386949</v>
      </c>
      <c r="I149" s="100">
        <v>26705.91</v>
      </c>
      <c r="J149" s="66">
        <f>+'[2]REALJAN-JUN,PROJ  (2)'!AR158</f>
        <v>9536</v>
      </c>
      <c r="K149" s="246">
        <f t="shared" si="20"/>
        <v>45.87890414896594</v>
      </c>
      <c r="L149" s="246">
        <f t="shared" si="21"/>
        <v>-56.63619645655393</v>
      </c>
      <c r="M149" s="66">
        <f>+J149*M$29/100</f>
        <v>10003.264000000001</v>
      </c>
      <c r="N149" s="90">
        <f>+M149/J149*100</f>
        <v>104.90000000000002</v>
      </c>
      <c r="O149" s="90">
        <f>+N149/O$26*100-100</f>
        <v>0</v>
      </c>
      <c r="P149" s="130"/>
      <c r="Q149" s="130"/>
      <c r="R149" s="130"/>
      <c r="S149" s="130"/>
      <c r="T149" s="130"/>
    </row>
    <row r="150" spans="1:20" ht="15">
      <c r="A150" s="84"/>
      <c r="B150" s="73">
        <v>714103</v>
      </c>
      <c r="C150" s="13"/>
      <c r="D150" s="14" t="s">
        <v>129</v>
      </c>
      <c r="E150" s="100">
        <v>2301814.38228</v>
      </c>
      <c r="F150" s="66">
        <v>1601968.64</v>
      </c>
      <c r="G150" s="90">
        <f t="shared" si="19"/>
        <v>69.5959088765973</v>
      </c>
      <c r="H150" s="90">
        <f>+G150/H$26*100-100</f>
        <v>-34.59031120620554</v>
      </c>
      <c r="I150" s="100">
        <v>1772586.121</v>
      </c>
      <c r="J150" s="66">
        <f>+'[2]REALJAN-JUN,PROJ  (2)'!AR159</f>
        <v>2443056</v>
      </c>
      <c r="K150" s="246">
        <f t="shared" si="20"/>
        <v>106.13609936610513</v>
      </c>
      <c r="L150" s="246">
        <f t="shared" si="21"/>
        <v>0.3176742590785864</v>
      </c>
      <c r="M150" s="66">
        <v>1561900</v>
      </c>
      <c r="N150" s="90">
        <f>+M150/J150*100</f>
        <v>63.93222259334211</v>
      </c>
      <c r="O150" s="90">
        <f>+N150/O$26*100-100</f>
        <v>-39.05412526850133</v>
      </c>
      <c r="P150" s="130"/>
      <c r="Q150" s="130"/>
      <c r="R150" s="130"/>
      <c r="S150" s="130"/>
      <c r="T150" s="130"/>
    </row>
    <row r="151" spans="1:20" ht="15">
      <c r="A151" s="84"/>
      <c r="B151" s="73">
        <v>714104</v>
      </c>
      <c r="C151" s="13"/>
      <c r="D151" s="14" t="s">
        <v>130</v>
      </c>
      <c r="E151" s="100">
        <v>283749.34942000004</v>
      </c>
      <c r="F151" s="66">
        <v>360207.624</v>
      </c>
      <c r="G151" s="90">
        <f t="shared" si="19"/>
        <v>126.94570921000702</v>
      </c>
      <c r="H151" s="90">
        <f>+G151/H$26*100-100</f>
        <v>19.309877077074262</v>
      </c>
      <c r="I151" s="100">
        <v>316164.973</v>
      </c>
      <c r="J151" s="66">
        <f>+'[2]REALJAN-JUN,PROJ  (2)'!AR160</f>
        <v>339583.5</v>
      </c>
      <c r="K151" s="246">
        <f t="shared" si="20"/>
        <v>119.67727880050762</v>
      </c>
      <c r="L151" s="246">
        <f t="shared" si="21"/>
        <v>13.116520605394726</v>
      </c>
      <c r="M151" s="66">
        <v>2000000</v>
      </c>
      <c r="N151" s="90">
        <f>+M151/J151*100</f>
        <v>588.9567661561885</v>
      </c>
      <c r="O151" s="90">
        <f>+N151/O$26*100-100</f>
        <v>461.4459162594742</v>
      </c>
      <c r="P151" s="130"/>
      <c r="Q151" s="130"/>
      <c r="R151" s="130"/>
      <c r="S151" s="130"/>
      <c r="T151" s="130"/>
    </row>
    <row r="152" spans="1:20" ht="15">
      <c r="A152" s="84"/>
      <c r="B152" s="73">
        <v>714199</v>
      </c>
      <c r="C152" s="13"/>
      <c r="D152" s="14" t="s">
        <v>131</v>
      </c>
      <c r="E152" s="100">
        <v>7164.16715</v>
      </c>
      <c r="F152" s="66">
        <v>6046.712</v>
      </c>
      <c r="G152" s="90">
        <f t="shared" si="19"/>
        <v>84.40216250398346</v>
      </c>
      <c r="H152" s="90">
        <f>+G152/H$26*100-100</f>
        <v>-20.67465930076743</v>
      </c>
      <c r="I152" s="100">
        <v>6207.206</v>
      </c>
      <c r="J152" s="66">
        <f>+'[2]REALJAN-JUN,PROJ  (2)'!AR161</f>
        <v>12756.875</v>
      </c>
      <c r="K152" s="246">
        <f t="shared" si="20"/>
        <v>178.0650106691048</v>
      </c>
      <c r="L152" s="246">
        <f t="shared" si="21"/>
        <v>68.30341273072287</v>
      </c>
      <c r="M152" s="66">
        <f>+J152*M$29/100</f>
        <v>13381.961875</v>
      </c>
      <c r="N152" s="90">
        <f>+M152/J152*100</f>
        <v>104.90000000000002</v>
      </c>
      <c r="O152" s="90">
        <f>+N152/O$26*100-100</f>
        <v>0</v>
      </c>
      <c r="P152" s="130"/>
      <c r="Q152" s="130"/>
      <c r="R152" s="130"/>
      <c r="S152" s="130"/>
      <c r="T152" s="130"/>
    </row>
    <row r="153" spans="1:20" ht="15">
      <c r="A153" s="84"/>
      <c r="B153" s="73"/>
      <c r="C153" s="13"/>
      <c r="D153" s="14"/>
      <c r="E153" s="100"/>
      <c r="F153" s="91"/>
      <c r="G153" s="90"/>
      <c r="H153" s="66"/>
      <c r="I153" s="100"/>
      <c r="J153" s="66"/>
      <c r="K153" s="246"/>
      <c r="L153" s="246"/>
      <c r="M153" s="66"/>
      <c r="N153" s="66"/>
      <c r="O153" s="66"/>
      <c r="P153" s="130"/>
      <c r="Q153" s="130"/>
      <c r="R153" s="130"/>
      <c r="S153" s="130"/>
      <c r="T153" s="130"/>
    </row>
    <row r="154" spans="1:20" ht="15.75">
      <c r="A154" s="84"/>
      <c r="B154" s="72">
        <v>72</v>
      </c>
      <c r="C154" s="8" t="s">
        <v>132</v>
      </c>
      <c r="D154" s="9" t="s">
        <v>133</v>
      </c>
      <c r="E154" s="66" t="e">
        <f>E157+E163+E173</f>
        <v>#REF!</v>
      </c>
      <c r="F154" s="66">
        <f>F157+F163+F173</f>
        <v>22843.370666666673</v>
      </c>
      <c r="G154" s="90" t="e">
        <f aca="true" t="shared" si="22" ref="G154:G170">+F154/E154*100</f>
        <v>#REF!</v>
      </c>
      <c r="H154" s="90" t="e">
        <f>+G154/H$26*100-100</f>
        <v>#REF!</v>
      </c>
      <c r="I154" s="66">
        <v>21710.506999999998</v>
      </c>
      <c r="J154" s="66">
        <f>J157+J163+J173</f>
        <v>31643.5</v>
      </c>
      <c r="K154" s="246" t="e">
        <f aca="true" t="shared" si="23" ref="K154:K169">+J154/E154*100</f>
        <v>#REF!</v>
      </c>
      <c r="L154" s="246" t="e">
        <f aca="true" t="shared" si="24" ref="L154:L169">+K154/$L$26*100-100</f>
        <v>#REF!</v>
      </c>
      <c r="M154" s="66">
        <f>M157+M163+M173</f>
        <v>123425.792</v>
      </c>
      <c r="N154" s="90">
        <f>+M154/J154*100</f>
        <v>390.0510120561885</v>
      </c>
      <c r="O154" s="90">
        <f>+N154/O$26*100-100</f>
        <v>271.83127936719586</v>
      </c>
      <c r="P154" s="130"/>
      <c r="Q154" s="130"/>
      <c r="R154" s="130"/>
      <c r="S154" s="130"/>
      <c r="T154" s="130"/>
    </row>
    <row r="155" spans="1:20" ht="16.5" customHeight="1" hidden="1">
      <c r="A155" s="86"/>
      <c r="B155" s="78"/>
      <c r="C155" s="10"/>
      <c r="D155" s="9" t="s">
        <v>134</v>
      </c>
      <c r="E155" s="100" t="e">
        <f>+'fn 2004TP'!#REF!</f>
        <v>#REF!</v>
      </c>
      <c r="F155" s="91">
        <v>0</v>
      </c>
      <c r="G155" s="90" t="e">
        <f t="shared" si="22"/>
        <v>#REF!</v>
      </c>
      <c r="H155" s="89"/>
      <c r="I155" s="100"/>
      <c r="J155" s="89"/>
      <c r="K155" s="246" t="e">
        <f t="shared" si="23"/>
        <v>#REF!</v>
      </c>
      <c r="L155" s="246" t="e">
        <f t="shared" si="24"/>
        <v>#REF!</v>
      </c>
      <c r="M155" s="89"/>
      <c r="N155" s="89"/>
      <c r="O155" s="89"/>
      <c r="P155" s="130"/>
      <c r="Q155" s="130"/>
      <c r="R155" s="130"/>
      <c r="S155" s="130"/>
      <c r="T155" s="130"/>
    </row>
    <row r="156" spans="1:20" ht="16.5" customHeight="1" hidden="1">
      <c r="A156" s="84"/>
      <c r="B156" s="73"/>
      <c r="C156" s="13"/>
      <c r="D156" s="14"/>
      <c r="E156" s="100" t="e">
        <f>+'fn 2004TP'!#REF!</f>
        <v>#REF!</v>
      </c>
      <c r="F156" s="91">
        <v>0</v>
      </c>
      <c r="G156" s="90" t="e">
        <f t="shared" si="22"/>
        <v>#REF!</v>
      </c>
      <c r="H156" s="66"/>
      <c r="I156" s="100"/>
      <c r="J156" s="66"/>
      <c r="K156" s="246" t="e">
        <f t="shared" si="23"/>
        <v>#REF!</v>
      </c>
      <c r="L156" s="246" t="e">
        <f t="shared" si="24"/>
        <v>#REF!</v>
      </c>
      <c r="M156" s="66"/>
      <c r="N156" s="66"/>
      <c r="O156" s="66"/>
      <c r="P156" s="130"/>
      <c r="Q156" s="130"/>
      <c r="R156" s="130"/>
      <c r="S156" s="130"/>
      <c r="T156" s="130"/>
    </row>
    <row r="157" spans="1:20" ht="15.75">
      <c r="A157" s="84"/>
      <c r="B157" s="72">
        <v>720</v>
      </c>
      <c r="C157" s="8"/>
      <c r="D157" s="9" t="s">
        <v>135</v>
      </c>
      <c r="E157" s="103">
        <f>SUM(E167:E170)</f>
        <v>91260.70546</v>
      </c>
      <c r="F157" s="103">
        <f>SUM(F167:F170)</f>
        <v>22843.370666666673</v>
      </c>
      <c r="G157" s="90">
        <f t="shared" si="22"/>
        <v>25.030894240324532</v>
      </c>
      <c r="H157" s="90">
        <f>+G157/H$26*100-100</f>
        <v>-76.4747234583416</v>
      </c>
      <c r="I157" s="103">
        <v>21710.506999999998</v>
      </c>
      <c r="J157" s="66">
        <f>SUM(J167:J170)</f>
        <v>31643.5</v>
      </c>
      <c r="K157" s="246">
        <f t="shared" si="23"/>
        <v>34.673740292167146</v>
      </c>
      <c r="L157" s="246">
        <f t="shared" si="24"/>
        <v>-67.22708857073049</v>
      </c>
      <c r="M157" s="66">
        <f>SUM(M167:M170)</f>
        <v>123425.792</v>
      </c>
      <c r="N157" s="90">
        <f aca="true" t="shared" si="25" ref="N157:N169">+M157/J157*100</f>
        <v>390.0510120561885</v>
      </c>
      <c r="O157" s="90">
        <f>+N157/O$26*100-100</f>
        <v>271.83127936719586</v>
      </c>
      <c r="P157" s="311"/>
      <c r="Q157" s="311"/>
      <c r="R157" s="130"/>
      <c r="S157" s="130"/>
      <c r="T157" s="130"/>
    </row>
    <row r="158" spans="1:20" ht="16.5" customHeight="1" hidden="1">
      <c r="A158" s="84"/>
      <c r="B158" s="73">
        <v>7200</v>
      </c>
      <c r="C158" s="13"/>
      <c r="D158" s="14" t="s">
        <v>136</v>
      </c>
      <c r="E158" s="100" t="e">
        <f>+'fn 2004TP'!#REF!</f>
        <v>#REF!</v>
      </c>
      <c r="F158" s="91">
        <v>0</v>
      </c>
      <c r="G158" s="90" t="e">
        <f t="shared" si="22"/>
        <v>#REF!</v>
      </c>
      <c r="H158" s="66"/>
      <c r="I158" s="100"/>
      <c r="J158" s="66"/>
      <c r="K158" s="246" t="e">
        <f t="shared" si="23"/>
        <v>#REF!</v>
      </c>
      <c r="L158" s="246" t="e">
        <f t="shared" si="24"/>
        <v>#REF!</v>
      </c>
      <c r="M158" s="66"/>
      <c r="N158" s="90" t="e">
        <f t="shared" si="25"/>
        <v>#DIV/0!</v>
      </c>
      <c r="O158" s="66"/>
      <c r="P158" s="311"/>
      <c r="Q158" s="311"/>
      <c r="R158" s="130"/>
      <c r="S158" s="130"/>
      <c r="T158" s="130"/>
    </row>
    <row r="159" spans="1:20" ht="16.5" customHeight="1" hidden="1">
      <c r="A159" s="84"/>
      <c r="B159" s="73">
        <v>7201</v>
      </c>
      <c r="C159" s="13"/>
      <c r="D159" s="14" t="s">
        <v>137</v>
      </c>
      <c r="E159" s="100" t="e">
        <f>+'fn 2004TP'!#REF!</f>
        <v>#REF!</v>
      </c>
      <c r="F159" s="91">
        <v>0</v>
      </c>
      <c r="G159" s="90" t="e">
        <f t="shared" si="22"/>
        <v>#REF!</v>
      </c>
      <c r="H159" s="66"/>
      <c r="I159" s="100"/>
      <c r="J159" s="66"/>
      <c r="K159" s="246" t="e">
        <f t="shared" si="23"/>
        <v>#REF!</v>
      </c>
      <c r="L159" s="246" t="e">
        <f t="shared" si="24"/>
        <v>#REF!</v>
      </c>
      <c r="M159" s="66"/>
      <c r="N159" s="90" t="e">
        <f t="shared" si="25"/>
        <v>#DIV/0!</v>
      </c>
      <c r="O159" s="66"/>
      <c r="P159" s="311"/>
      <c r="Q159" s="311"/>
      <c r="R159" s="130"/>
      <c r="S159" s="130"/>
      <c r="T159" s="130"/>
    </row>
    <row r="160" spans="1:20" ht="16.5" customHeight="1" hidden="1">
      <c r="A160" s="84"/>
      <c r="B160" s="73">
        <v>7202</v>
      </c>
      <c r="C160" s="13"/>
      <c r="D160" s="14" t="s">
        <v>138</v>
      </c>
      <c r="E160" s="100" t="e">
        <f>+'fn 2004TP'!#REF!</f>
        <v>#REF!</v>
      </c>
      <c r="F160" s="91">
        <v>0</v>
      </c>
      <c r="G160" s="90" t="e">
        <f t="shared" si="22"/>
        <v>#REF!</v>
      </c>
      <c r="H160" s="66"/>
      <c r="I160" s="100"/>
      <c r="J160" s="66"/>
      <c r="K160" s="246" t="e">
        <f t="shared" si="23"/>
        <v>#REF!</v>
      </c>
      <c r="L160" s="246" t="e">
        <f t="shared" si="24"/>
        <v>#REF!</v>
      </c>
      <c r="M160" s="66"/>
      <c r="N160" s="90" t="e">
        <f t="shared" si="25"/>
        <v>#DIV/0!</v>
      </c>
      <c r="O160" s="66"/>
      <c r="P160" s="311"/>
      <c r="Q160" s="311"/>
      <c r="R160" s="130"/>
      <c r="S160" s="130"/>
      <c r="T160" s="130"/>
    </row>
    <row r="161" spans="1:20" ht="16.5" customHeight="1" hidden="1">
      <c r="A161" s="84"/>
      <c r="B161" s="73">
        <v>7203</v>
      </c>
      <c r="C161" s="13"/>
      <c r="D161" s="14" t="s">
        <v>139</v>
      </c>
      <c r="E161" s="100" t="e">
        <f>+'fn 2004TP'!#REF!</f>
        <v>#REF!</v>
      </c>
      <c r="F161" s="91">
        <v>0</v>
      </c>
      <c r="G161" s="90" t="e">
        <f t="shared" si="22"/>
        <v>#REF!</v>
      </c>
      <c r="H161" s="66"/>
      <c r="I161" s="100"/>
      <c r="J161" s="66"/>
      <c r="K161" s="246" t="e">
        <f t="shared" si="23"/>
        <v>#REF!</v>
      </c>
      <c r="L161" s="246" t="e">
        <f t="shared" si="24"/>
        <v>#REF!</v>
      </c>
      <c r="M161" s="66"/>
      <c r="N161" s="90" t="e">
        <f t="shared" si="25"/>
        <v>#DIV/0!</v>
      </c>
      <c r="O161" s="66"/>
      <c r="P161" s="311"/>
      <c r="Q161" s="311"/>
      <c r="R161" s="130"/>
      <c r="S161" s="130"/>
      <c r="T161" s="130"/>
    </row>
    <row r="162" spans="1:20" ht="16.5" customHeight="1" hidden="1">
      <c r="A162" s="84"/>
      <c r="B162" s="73"/>
      <c r="C162" s="13"/>
      <c r="D162" s="14"/>
      <c r="E162" s="100" t="e">
        <f>+'fn 2004TP'!#REF!</f>
        <v>#REF!</v>
      </c>
      <c r="F162" s="91">
        <v>0</v>
      </c>
      <c r="G162" s="90" t="e">
        <f t="shared" si="22"/>
        <v>#REF!</v>
      </c>
      <c r="H162" s="66"/>
      <c r="I162" s="100"/>
      <c r="J162" s="66"/>
      <c r="K162" s="246" t="e">
        <f t="shared" si="23"/>
        <v>#REF!</v>
      </c>
      <c r="L162" s="246" t="e">
        <f t="shared" si="24"/>
        <v>#REF!</v>
      </c>
      <c r="M162" s="66"/>
      <c r="N162" s="90" t="e">
        <f t="shared" si="25"/>
        <v>#DIV/0!</v>
      </c>
      <c r="O162" s="66"/>
      <c r="P162" s="311"/>
      <c r="Q162" s="311"/>
      <c r="R162" s="130"/>
      <c r="S162" s="130"/>
      <c r="T162" s="130"/>
    </row>
    <row r="163" spans="1:20" ht="16.5" customHeight="1" hidden="1">
      <c r="A163" s="84"/>
      <c r="B163" s="72">
        <v>721</v>
      </c>
      <c r="C163" s="8"/>
      <c r="D163" s="9" t="s">
        <v>140</v>
      </c>
      <c r="E163" s="100" t="e">
        <f>+'fn 2004TP'!#REF!</f>
        <v>#REF!</v>
      </c>
      <c r="F163" s="91">
        <v>0</v>
      </c>
      <c r="G163" s="90" t="e">
        <f t="shared" si="22"/>
        <v>#REF!</v>
      </c>
      <c r="H163" s="66"/>
      <c r="I163" s="100"/>
      <c r="J163" s="66"/>
      <c r="K163" s="246" t="e">
        <f t="shared" si="23"/>
        <v>#REF!</v>
      </c>
      <c r="L163" s="246" t="e">
        <f t="shared" si="24"/>
        <v>#REF!</v>
      </c>
      <c r="M163" s="66"/>
      <c r="N163" s="90" t="e">
        <f t="shared" si="25"/>
        <v>#DIV/0!</v>
      </c>
      <c r="O163" s="66"/>
      <c r="P163" s="311"/>
      <c r="Q163" s="311"/>
      <c r="R163" s="130"/>
      <c r="S163" s="130"/>
      <c r="T163" s="130"/>
    </row>
    <row r="164" spans="1:20" ht="16.5" customHeight="1" hidden="1">
      <c r="A164" s="84"/>
      <c r="B164" s="73">
        <v>7210</v>
      </c>
      <c r="C164" s="13"/>
      <c r="D164" s="14" t="s">
        <v>141</v>
      </c>
      <c r="E164" s="100" t="e">
        <f>+'fn 2004TP'!#REF!</f>
        <v>#REF!</v>
      </c>
      <c r="F164" s="91">
        <v>0</v>
      </c>
      <c r="G164" s="90" t="e">
        <f t="shared" si="22"/>
        <v>#REF!</v>
      </c>
      <c r="H164" s="66"/>
      <c r="I164" s="100"/>
      <c r="J164" s="66"/>
      <c r="K164" s="246" t="e">
        <f t="shared" si="23"/>
        <v>#REF!</v>
      </c>
      <c r="L164" s="246" t="e">
        <f t="shared" si="24"/>
        <v>#REF!</v>
      </c>
      <c r="M164" s="66"/>
      <c r="N164" s="90" t="e">
        <f t="shared" si="25"/>
        <v>#DIV/0!</v>
      </c>
      <c r="O164" s="66"/>
      <c r="P164" s="311"/>
      <c r="Q164" s="311"/>
      <c r="R164" s="130"/>
      <c r="S164" s="130"/>
      <c r="T164" s="130"/>
    </row>
    <row r="165" spans="1:20" ht="16.5" customHeight="1" hidden="1">
      <c r="A165" s="84"/>
      <c r="B165" s="73">
        <v>7211</v>
      </c>
      <c r="C165" s="13"/>
      <c r="D165" s="14" t="s">
        <v>142</v>
      </c>
      <c r="E165" s="100" t="e">
        <f>+'fn 2004TP'!#REF!</f>
        <v>#REF!</v>
      </c>
      <c r="F165" s="91">
        <v>0</v>
      </c>
      <c r="G165" s="90" t="e">
        <f t="shared" si="22"/>
        <v>#REF!</v>
      </c>
      <c r="H165" s="66"/>
      <c r="I165" s="100"/>
      <c r="J165" s="66"/>
      <c r="K165" s="246" t="e">
        <f t="shared" si="23"/>
        <v>#REF!</v>
      </c>
      <c r="L165" s="246" t="e">
        <f t="shared" si="24"/>
        <v>#REF!</v>
      </c>
      <c r="M165" s="66"/>
      <c r="N165" s="90" t="e">
        <f t="shared" si="25"/>
        <v>#DIV/0!</v>
      </c>
      <c r="O165" s="66"/>
      <c r="P165" s="311"/>
      <c r="Q165" s="311"/>
      <c r="R165" s="130"/>
      <c r="S165" s="130"/>
      <c r="T165" s="130"/>
    </row>
    <row r="166" spans="1:20" ht="16.5" customHeight="1" hidden="1">
      <c r="A166" s="84"/>
      <c r="B166" s="73"/>
      <c r="C166" s="47"/>
      <c r="D166" s="45"/>
      <c r="E166" s="100" t="e">
        <f>+'fn 2004TP'!#REF!</f>
        <v>#REF!</v>
      </c>
      <c r="F166" s="91">
        <v>0</v>
      </c>
      <c r="G166" s="90" t="e">
        <f t="shared" si="22"/>
        <v>#REF!</v>
      </c>
      <c r="H166" s="66"/>
      <c r="I166" s="100"/>
      <c r="J166" s="66"/>
      <c r="K166" s="246" t="e">
        <f t="shared" si="23"/>
        <v>#REF!</v>
      </c>
      <c r="L166" s="246" t="e">
        <f t="shared" si="24"/>
        <v>#REF!</v>
      </c>
      <c r="M166" s="66"/>
      <c r="N166" s="90" t="e">
        <f t="shared" si="25"/>
        <v>#DIV/0!</v>
      </c>
      <c r="O166" s="66"/>
      <c r="P166" s="311"/>
      <c r="Q166" s="311"/>
      <c r="R166" s="130"/>
      <c r="S166" s="130"/>
      <c r="T166" s="130"/>
    </row>
    <row r="167" spans="1:20" ht="16.5">
      <c r="A167" s="84"/>
      <c r="B167" s="51">
        <v>7200</v>
      </c>
      <c r="C167" s="172"/>
      <c r="D167" s="173" t="s">
        <v>136</v>
      </c>
      <c r="E167" s="100">
        <v>85678.76501</v>
      </c>
      <c r="F167" s="66">
        <v>18225.61066666667</v>
      </c>
      <c r="G167" s="90">
        <f t="shared" si="22"/>
        <v>21.272027747528185</v>
      </c>
      <c r="H167" s="90">
        <f>+G167/H$26*100-100</f>
        <v>-80.00749271848855</v>
      </c>
      <c r="I167" s="100">
        <v>17931.110999999997</v>
      </c>
      <c r="J167" s="66">
        <f>+'[2]REALJAN-JUN,PROJ  (2)'!AR176</f>
        <v>26035.5</v>
      </c>
      <c r="K167" s="246">
        <f t="shared" si="23"/>
        <v>30.387342764524284</v>
      </c>
      <c r="L167" s="246">
        <f t="shared" si="24"/>
        <v>-71.27850400328518</v>
      </c>
      <c r="M167" s="66">
        <v>117543</v>
      </c>
      <c r="N167" s="90">
        <f t="shared" si="25"/>
        <v>451.47202857636694</v>
      </c>
      <c r="O167" s="90">
        <f>+N167/O$26*100-100</f>
        <v>330.3832493578331</v>
      </c>
      <c r="P167" s="312"/>
      <c r="Q167" s="311"/>
      <c r="R167" s="130"/>
      <c r="S167" s="130"/>
      <c r="T167" s="130"/>
    </row>
    <row r="168" spans="1:20" ht="16.5">
      <c r="A168" s="84"/>
      <c r="B168" s="51">
        <v>7201</v>
      </c>
      <c r="C168" s="174"/>
      <c r="D168" s="175" t="s">
        <v>137</v>
      </c>
      <c r="E168" s="100">
        <v>4390.18187</v>
      </c>
      <c r="F168" s="66">
        <v>595.84</v>
      </c>
      <c r="G168" s="90">
        <f t="shared" si="22"/>
        <v>13.57210287964676</v>
      </c>
      <c r="H168" s="90">
        <f>+G168/H$26*100-100</f>
        <v>-87.2442642108583</v>
      </c>
      <c r="I168" s="100">
        <v>315.3</v>
      </c>
      <c r="J168" s="66">
        <f>+'[2]REALJAN-JUN,PROJ  (2)'!AR177</f>
        <v>4500</v>
      </c>
      <c r="K168" s="246">
        <f t="shared" si="23"/>
        <v>102.50144830560288</v>
      </c>
      <c r="L168" s="246">
        <f t="shared" si="24"/>
        <v>-3.1177237187118294</v>
      </c>
      <c r="M168" s="66">
        <f>+J168*M$29/100</f>
        <v>4720.5</v>
      </c>
      <c r="N168" s="90">
        <f t="shared" si="25"/>
        <v>104.89999999999999</v>
      </c>
      <c r="O168" s="90">
        <f>+N168/O$26*100-100</f>
        <v>0</v>
      </c>
      <c r="P168" s="312"/>
      <c r="Q168" s="311"/>
      <c r="R168" s="130"/>
      <c r="S168" s="130"/>
      <c r="T168" s="130"/>
    </row>
    <row r="169" spans="1:20" ht="15">
      <c r="A169" s="84"/>
      <c r="B169" s="51">
        <v>7202</v>
      </c>
      <c r="C169" s="174"/>
      <c r="D169" s="176" t="s">
        <v>138</v>
      </c>
      <c r="E169" s="100">
        <v>1191.7585800000002</v>
      </c>
      <c r="F169" s="66">
        <v>2971.752</v>
      </c>
      <c r="G169" s="90">
        <f t="shared" si="22"/>
        <v>249.35855716683824</v>
      </c>
      <c r="H169" s="90">
        <f>+G169/H$26*100-100</f>
        <v>134.35954620943443</v>
      </c>
      <c r="I169" s="100">
        <v>2675.8459999999995</v>
      </c>
      <c r="J169" s="66">
        <f>+'[2]REALJAN-JUN,PROJ  (2)'!AR178</f>
        <v>1108</v>
      </c>
      <c r="K169" s="246">
        <f t="shared" si="23"/>
        <v>92.9718500537248</v>
      </c>
      <c r="L169" s="246">
        <f t="shared" si="24"/>
        <v>-12.124905431262007</v>
      </c>
      <c r="M169" s="66">
        <f>+J169*M$29/100</f>
        <v>1162.2920000000001</v>
      </c>
      <c r="N169" s="90">
        <f t="shared" si="25"/>
        <v>104.90000000000002</v>
      </c>
      <c r="O169" s="90">
        <f>+N169/O$26*100-100</f>
        <v>0</v>
      </c>
      <c r="P169" s="130"/>
      <c r="Q169" s="130"/>
      <c r="R169" s="130"/>
      <c r="S169" s="130"/>
      <c r="T169" s="130"/>
    </row>
    <row r="170" spans="1:20" ht="15">
      <c r="A170" s="84"/>
      <c r="B170" s="51">
        <v>7203</v>
      </c>
      <c r="C170" s="174"/>
      <c r="D170" s="175" t="s">
        <v>139</v>
      </c>
      <c r="E170" s="100">
        <v>0</v>
      </c>
      <c r="F170" s="66">
        <v>1050.1680000000001</v>
      </c>
      <c r="G170" s="90" t="e">
        <f t="shared" si="22"/>
        <v>#DIV/0!</v>
      </c>
      <c r="H170" s="90" t="e">
        <f>+G170/H$26*100-100</f>
        <v>#DIV/0!</v>
      </c>
      <c r="I170" s="100">
        <v>788.25</v>
      </c>
      <c r="J170" s="66">
        <f>+'[2]REALJAN-JUN,PROJ  (2)'!AR179</f>
        <v>0</v>
      </c>
      <c r="K170" s="246"/>
      <c r="L170" s="246"/>
      <c r="M170" s="66"/>
      <c r="N170" s="66"/>
      <c r="O170" s="90"/>
      <c r="P170" s="130"/>
      <c r="Q170" s="130"/>
      <c r="R170" s="130"/>
      <c r="S170" s="130"/>
      <c r="T170" s="130"/>
    </row>
    <row r="171" spans="1:20" ht="15">
      <c r="A171" s="84"/>
      <c r="B171" s="73"/>
      <c r="C171" s="63"/>
      <c r="D171" s="64"/>
      <c r="E171" s="100"/>
      <c r="F171" s="91"/>
      <c r="G171" s="90"/>
      <c r="H171" s="66"/>
      <c r="I171" s="100"/>
      <c r="J171" s="66"/>
      <c r="K171" s="246"/>
      <c r="L171" s="246"/>
      <c r="M171" s="66"/>
      <c r="N171" s="66"/>
      <c r="O171" s="66"/>
      <c r="P171" s="130"/>
      <c r="Q171" s="130"/>
      <c r="R171" s="130"/>
      <c r="S171" s="130"/>
      <c r="T171" s="130"/>
    </row>
    <row r="172" spans="1:20" ht="15">
      <c r="A172" s="84"/>
      <c r="B172" s="73"/>
      <c r="C172" s="63"/>
      <c r="D172" s="46"/>
      <c r="E172" s="100"/>
      <c r="F172" s="91"/>
      <c r="G172" s="90"/>
      <c r="H172" s="66"/>
      <c r="I172" s="100"/>
      <c r="J172" s="66"/>
      <c r="K172" s="246"/>
      <c r="L172" s="246"/>
      <c r="M172" s="66"/>
      <c r="N172" s="66"/>
      <c r="O172" s="66"/>
      <c r="P172" s="130"/>
      <c r="Q172" s="130"/>
      <c r="R172" s="130"/>
      <c r="S172" s="130"/>
      <c r="T172" s="130"/>
    </row>
    <row r="173" spans="1:20" ht="15.75">
      <c r="A173" s="84"/>
      <c r="B173" s="72">
        <v>722</v>
      </c>
      <c r="C173" s="8"/>
      <c r="D173" s="9" t="s">
        <v>143</v>
      </c>
      <c r="E173" s="100">
        <v>0</v>
      </c>
      <c r="F173" s="100">
        <v>0</v>
      </c>
      <c r="G173" s="90"/>
      <c r="H173" s="66"/>
      <c r="I173" s="100">
        <v>0</v>
      </c>
      <c r="J173" s="66">
        <v>0</v>
      </c>
      <c r="K173" s="246"/>
      <c r="L173" s="246"/>
      <c r="M173" s="66"/>
      <c r="N173" s="66"/>
      <c r="O173" s="66"/>
      <c r="P173" s="130"/>
      <c r="Q173" s="130"/>
      <c r="R173" s="130"/>
      <c r="S173" s="130"/>
      <c r="T173" s="130"/>
    </row>
    <row r="174" spans="1:20" ht="16.5" customHeight="1" hidden="1">
      <c r="A174" s="84"/>
      <c r="B174" s="73">
        <v>7220</v>
      </c>
      <c r="C174" s="13"/>
      <c r="D174" s="14" t="s">
        <v>144</v>
      </c>
      <c r="E174" s="100" t="e">
        <f>+'fn 2004TP'!#REF!</f>
        <v>#REF!</v>
      </c>
      <c r="F174" s="91">
        <v>0</v>
      </c>
      <c r="G174" s="90" t="e">
        <f>+F174/E174*100</f>
        <v>#REF!</v>
      </c>
      <c r="H174" s="66"/>
      <c r="I174" s="100"/>
      <c r="J174" s="66"/>
      <c r="K174" s="246"/>
      <c r="L174" s="246"/>
      <c r="M174" s="66"/>
      <c r="N174" s="66"/>
      <c r="O174" s="66"/>
      <c r="P174" s="130"/>
      <c r="Q174" s="130"/>
      <c r="R174" s="130"/>
      <c r="S174" s="130"/>
      <c r="T174" s="130"/>
    </row>
    <row r="175" spans="1:20" ht="16.5" customHeight="1" hidden="1">
      <c r="A175" s="84"/>
      <c r="B175" s="73">
        <v>7221</v>
      </c>
      <c r="C175" s="13"/>
      <c r="D175" s="14" t="s">
        <v>145</v>
      </c>
      <c r="E175" s="100" t="e">
        <f>+'fn 2004TP'!#REF!</f>
        <v>#REF!</v>
      </c>
      <c r="F175" s="91">
        <v>0</v>
      </c>
      <c r="G175" s="90" t="e">
        <f>+F175/E175*100</f>
        <v>#REF!</v>
      </c>
      <c r="H175" s="66"/>
      <c r="I175" s="100"/>
      <c r="J175" s="66"/>
      <c r="K175" s="246"/>
      <c r="L175" s="246"/>
      <c r="M175" s="66"/>
      <c r="N175" s="66"/>
      <c r="O175" s="66"/>
      <c r="P175" s="130"/>
      <c r="Q175" s="130"/>
      <c r="R175" s="130"/>
      <c r="S175" s="130"/>
      <c r="T175" s="130"/>
    </row>
    <row r="176" spans="1:20" ht="16.5" customHeight="1" hidden="1">
      <c r="A176" s="84"/>
      <c r="B176" s="73">
        <v>7222</v>
      </c>
      <c r="C176" s="13"/>
      <c r="D176" s="14" t="s">
        <v>146</v>
      </c>
      <c r="E176" s="100" t="e">
        <f>+'fn 2004TP'!#REF!</f>
        <v>#REF!</v>
      </c>
      <c r="F176" s="91">
        <v>0</v>
      </c>
      <c r="G176" s="90" t="e">
        <f>+F176/E176*100</f>
        <v>#REF!</v>
      </c>
      <c r="H176" s="66"/>
      <c r="I176" s="100"/>
      <c r="J176" s="66"/>
      <c r="K176" s="246"/>
      <c r="L176" s="246"/>
      <c r="M176" s="66"/>
      <c r="N176" s="66"/>
      <c r="O176" s="66"/>
      <c r="P176" s="130"/>
      <c r="Q176" s="130"/>
      <c r="R176" s="130"/>
      <c r="S176" s="130"/>
      <c r="T176" s="130"/>
    </row>
    <row r="177" spans="1:20" ht="15">
      <c r="A177" s="84"/>
      <c r="B177" s="73"/>
      <c r="C177" s="13"/>
      <c r="D177" s="14"/>
      <c r="E177" s="100"/>
      <c r="F177" s="91"/>
      <c r="G177" s="90"/>
      <c r="H177" s="66"/>
      <c r="I177" s="100"/>
      <c r="J177" s="66"/>
      <c r="K177" s="246"/>
      <c r="L177" s="246"/>
      <c r="M177" s="66"/>
      <c r="N177" s="66"/>
      <c r="O177" s="66"/>
      <c r="P177" s="130"/>
      <c r="Q177" s="130"/>
      <c r="R177" s="130"/>
      <c r="S177" s="130"/>
      <c r="T177" s="130"/>
    </row>
    <row r="178" spans="1:20" ht="15.75">
      <c r="A178" s="84"/>
      <c r="B178" s="72">
        <v>73</v>
      </c>
      <c r="C178" s="8" t="s">
        <v>49</v>
      </c>
      <c r="D178" s="9" t="s">
        <v>147</v>
      </c>
      <c r="E178" s="100">
        <f>+E181</f>
        <v>2335</v>
      </c>
      <c r="F178" s="100">
        <f>+F181</f>
        <v>0</v>
      </c>
      <c r="G178" s="90"/>
      <c r="H178" s="66"/>
      <c r="I178" s="100">
        <v>0</v>
      </c>
      <c r="J178" s="66">
        <f>+J181</f>
        <v>65970</v>
      </c>
      <c r="K178" s="246"/>
      <c r="L178" s="246"/>
      <c r="M178" s="66">
        <f>M181+M186</f>
        <v>0</v>
      </c>
      <c r="N178" s="66"/>
      <c r="O178" s="66"/>
      <c r="P178" s="130"/>
      <c r="Q178" s="130"/>
      <c r="R178" s="130"/>
      <c r="S178" s="130"/>
      <c r="T178" s="130"/>
    </row>
    <row r="179" spans="1:20" ht="16.5" customHeight="1" hidden="1">
      <c r="A179" s="86"/>
      <c r="B179" s="78"/>
      <c r="C179" s="10"/>
      <c r="D179" s="9" t="s">
        <v>148</v>
      </c>
      <c r="E179" s="100" t="e">
        <f>+'fn 2004TP'!#REF!</f>
        <v>#REF!</v>
      </c>
      <c r="F179" s="91">
        <v>0</v>
      </c>
      <c r="G179" s="90" t="e">
        <f>+F179/E179*100</f>
        <v>#REF!</v>
      </c>
      <c r="H179" s="89"/>
      <c r="I179" s="100"/>
      <c r="J179" s="89"/>
      <c r="K179" s="246"/>
      <c r="L179" s="246"/>
      <c r="M179" s="89"/>
      <c r="N179" s="89"/>
      <c r="O179" s="89"/>
      <c r="P179" s="130"/>
      <c r="Q179" s="130"/>
      <c r="R179" s="130"/>
      <c r="S179" s="130"/>
      <c r="T179" s="130"/>
    </row>
    <row r="180" spans="1:20" ht="16.5" customHeight="1" hidden="1">
      <c r="A180" s="84"/>
      <c r="B180" s="73"/>
      <c r="C180" s="13"/>
      <c r="D180" s="14"/>
      <c r="E180" s="100" t="e">
        <f>+'fn 2004TP'!#REF!</f>
        <v>#REF!</v>
      </c>
      <c r="F180" s="91">
        <v>0</v>
      </c>
      <c r="G180" s="90" t="e">
        <f>+F180/E180*100</f>
        <v>#REF!</v>
      </c>
      <c r="H180" s="66"/>
      <c r="I180" s="100"/>
      <c r="J180" s="66"/>
      <c r="K180" s="246"/>
      <c r="L180" s="246"/>
      <c r="M180" s="66"/>
      <c r="N180" s="66"/>
      <c r="O180" s="66"/>
      <c r="P180" s="130"/>
      <c r="Q180" s="130"/>
      <c r="R180" s="130"/>
      <c r="S180" s="130"/>
      <c r="T180" s="130"/>
    </row>
    <row r="181" spans="1:20" ht="15.75">
      <c r="A181" s="84"/>
      <c r="B181" s="72">
        <v>730</v>
      </c>
      <c r="C181" s="8"/>
      <c r="D181" s="14" t="s">
        <v>149</v>
      </c>
      <c r="E181" s="100">
        <v>2335</v>
      </c>
      <c r="F181" s="91">
        <v>0</v>
      </c>
      <c r="G181" s="90"/>
      <c r="H181" s="66"/>
      <c r="I181" s="100">
        <v>0</v>
      </c>
      <c r="J181" s="66">
        <f>+'[2]REALJAN-JUN,PROJ  (2)'!AR190</f>
        <v>65970</v>
      </c>
      <c r="K181" s="246"/>
      <c r="L181" s="246"/>
      <c r="M181" s="66"/>
      <c r="N181" s="66"/>
      <c r="O181" s="66"/>
      <c r="P181" s="130"/>
      <c r="Q181" s="130"/>
      <c r="R181" s="130"/>
      <c r="S181" s="130"/>
      <c r="T181" s="130"/>
    </row>
    <row r="182" spans="1:20" ht="16.5" customHeight="1" hidden="1">
      <c r="A182" s="84"/>
      <c r="B182" s="73">
        <v>7300</v>
      </c>
      <c r="C182" s="13"/>
      <c r="D182" s="14" t="s">
        <v>150</v>
      </c>
      <c r="E182" s="100" t="e">
        <f>+'fn 2004TP'!#REF!</f>
        <v>#REF!</v>
      </c>
      <c r="F182" s="91">
        <v>0</v>
      </c>
      <c r="G182" s="90" t="e">
        <f aca="true" t="shared" si="26" ref="G182:G188">+F182/E182*100</f>
        <v>#REF!</v>
      </c>
      <c r="H182" s="66"/>
      <c r="I182" s="100"/>
      <c r="J182" s="66"/>
      <c r="K182" s="246" t="e">
        <f aca="true" t="shared" si="27" ref="K182:K188">+J182/E182*100</f>
        <v>#REF!</v>
      </c>
      <c r="L182" s="246"/>
      <c r="M182" s="66"/>
      <c r="N182" s="66"/>
      <c r="O182" s="66"/>
      <c r="P182" s="130"/>
      <c r="Q182" s="130"/>
      <c r="R182" s="130"/>
      <c r="S182" s="130"/>
      <c r="T182" s="130"/>
    </row>
    <row r="183" spans="1:20" ht="16.5" customHeight="1" hidden="1">
      <c r="A183" s="84"/>
      <c r="B183" s="73">
        <v>7301</v>
      </c>
      <c r="C183" s="13"/>
      <c r="D183" s="14" t="s">
        <v>151</v>
      </c>
      <c r="E183" s="100" t="e">
        <f>+'fn 2004TP'!#REF!</f>
        <v>#REF!</v>
      </c>
      <c r="F183" s="91">
        <v>0</v>
      </c>
      <c r="G183" s="90" t="e">
        <f t="shared" si="26"/>
        <v>#REF!</v>
      </c>
      <c r="H183" s="66"/>
      <c r="I183" s="100"/>
      <c r="J183" s="66"/>
      <c r="K183" s="246" t="e">
        <f t="shared" si="27"/>
        <v>#REF!</v>
      </c>
      <c r="L183" s="246"/>
      <c r="M183" s="66"/>
      <c r="N183" s="66"/>
      <c r="O183" s="66"/>
      <c r="P183" s="130"/>
      <c r="Q183" s="130"/>
      <c r="R183" s="130"/>
      <c r="S183" s="130"/>
      <c r="T183" s="130"/>
    </row>
    <row r="184" spans="1:20" ht="16.5" customHeight="1" hidden="1">
      <c r="A184" s="84"/>
      <c r="B184" s="73">
        <v>7302</v>
      </c>
      <c r="C184" s="13"/>
      <c r="D184" s="14" t="s">
        <v>152</v>
      </c>
      <c r="E184" s="100" t="e">
        <f>+'fn 2004TP'!#REF!</f>
        <v>#REF!</v>
      </c>
      <c r="F184" s="91">
        <v>0</v>
      </c>
      <c r="G184" s="90" t="e">
        <f t="shared" si="26"/>
        <v>#REF!</v>
      </c>
      <c r="H184" s="66"/>
      <c r="I184" s="100"/>
      <c r="J184" s="66"/>
      <c r="K184" s="246" t="e">
        <f t="shared" si="27"/>
        <v>#REF!</v>
      </c>
      <c r="L184" s="246"/>
      <c r="M184" s="66"/>
      <c r="N184" s="66"/>
      <c r="O184" s="66"/>
      <c r="P184" s="130"/>
      <c r="Q184" s="130"/>
      <c r="R184" s="130"/>
      <c r="S184" s="130"/>
      <c r="T184" s="130"/>
    </row>
    <row r="185" spans="1:20" ht="16.5" customHeight="1" hidden="1">
      <c r="A185" s="84"/>
      <c r="B185" s="73"/>
      <c r="C185" s="13"/>
      <c r="D185" s="14"/>
      <c r="E185" s="100" t="e">
        <f>+'fn 2004TP'!#REF!</f>
        <v>#REF!</v>
      </c>
      <c r="F185" s="91">
        <v>0</v>
      </c>
      <c r="G185" s="90" t="e">
        <f t="shared" si="26"/>
        <v>#REF!</v>
      </c>
      <c r="H185" s="66"/>
      <c r="I185" s="100"/>
      <c r="J185" s="66"/>
      <c r="K185" s="246" t="e">
        <f t="shared" si="27"/>
        <v>#REF!</v>
      </c>
      <c r="L185" s="246"/>
      <c r="M185" s="66"/>
      <c r="N185" s="66"/>
      <c r="O185" s="66"/>
      <c r="P185" s="130"/>
      <c r="Q185" s="130"/>
      <c r="R185" s="130"/>
      <c r="S185" s="130"/>
      <c r="T185" s="130"/>
    </row>
    <row r="186" spans="1:20" ht="16.5" customHeight="1" hidden="1">
      <c r="A186" s="84"/>
      <c r="B186" s="72">
        <v>731</v>
      </c>
      <c r="C186" s="8"/>
      <c r="D186" s="14" t="s">
        <v>153</v>
      </c>
      <c r="E186" s="100" t="e">
        <f>+'fn 2004TP'!#REF!</f>
        <v>#REF!</v>
      </c>
      <c r="F186" s="91">
        <v>0</v>
      </c>
      <c r="G186" s="90" t="e">
        <f t="shared" si="26"/>
        <v>#REF!</v>
      </c>
      <c r="H186" s="66"/>
      <c r="I186" s="100"/>
      <c r="J186" s="66"/>
      <c r="K186" s="246" t="e">
        <f t="shared" si="27"/>
        <v>#REF!</v>
      </c>
      <c r="L186" s="246"/>
      <c r="M186" s="66"/>
      <c r="N186" s="66"/>
      <c r="O186" s="66"/>
      <c r="P186" s="130"/>
      <c r="Q186" s="130"/>
      <c r="R186" s="130"/>
      <c r="S186" s="130"/>
      <c r="T186" s="130"/>
    </row>
    <row r="187" spans="1:20" ht="16.5" customHeight="1" hidden="1">
      <c r="A187" s="84"/>
      <c r="B187" s="73">
        <v>7310</v>
      </c>
      <c r="C187" s="13"/>
      <c r="D187" s="14" t="s">
        <v>154</v>
      </c>
      <c r="E187" s="100" t="e">
        <f>+'fn 2004TP'!#REF!</f>
        <v>#REF!</v>
      </c>
      <c r="F187" s="91">
        <v>0</v>
      </c>
      <c r="G187" s="90" t="e">
        <f t="shared" si="26"/>
        <v>#REF!</v>
      </c>
      <c r="H187" s="66"/>
      <c r="I187" s="100"/>
      <c r="J187" s="66"/>
      <c r="K187" s="246" t="e">
        <f t="shared" si="27"/>
        <v>#REF!</v>
      </c>
      <c r="L187" s="246"/>
      <c r="M187" s="66"/>
      <c r="N187" s="66"/>
      <c r="O187" s="66"/>
      <c r="P187" s="130"/>
      <c r="Q187" s="130"/>
      <c r="R187" s="130"/>
      <c r="S187" s="130"/>
      <c r="T187" s="130"/>
    </row>
    <row r="188" spans="1:20" ht="16.5" customHeight="1" hidden="1">
      <c r="A188" s="84"/>
      <c r="B188" s="73">
        <v>7311</v>
      </c>
      <c r="C188" s="13"/>
      <c r="D188" s="14" t="s">
        <v>155</v>
      </c>
      <c r="E188" s="100" t="e">
        <f>+'fn 2004TP'!#REF!</f>
        <v>#REF!</v>
      </c>
      <c r="F188" s="91">
        <v>0</v>
      </c>
      <c r="G188" s="90" t="e">
        <f t="shared" si="26"/>
        <v>#REF!</v>
      </c>
      <c r="H188" s="66"/>
      <c r="I188" s="100"/>
      <c r="J188" s="66"/>
      <c r="K188" s="246" t="e">
        <f t="shared" si="27"/>
        <v>#REF!</v>
      </c>
      <c r="L188" s="246"/>
      <c r="M188" s="66"/>
      <c r="N188" s="66"/>
      <c r="O188" s="66"/>
      <c r="P188" s="130"/>
      <c r="Q188" s="130"/>
      <c r="R188" s="130"/>
      <c r="S188" s="130"/>
      <c r="T188" s="130"/>
    </row>
    <row r="189" spans="1:20" ht="15">
      <c r="A189" s="84"/>
      <c r="B189" s="73"/>
      <c r="C189" s="13"/>
      <c r="D189" s="14"/>
      <c r="E189" s="100"/>
      <c r="F189" s="91"/>
      <c r="G189" s="90"/>
      <c r="H189" s="66"/>
      <c r="I189" s="100"/>
      <c r="J189" s="66"/>
      <c r="K189" s="246"/>
      <c r="L189" s="246"/>
      <c r="M189" s="66"/>
      <c r="N189" s="66"/>
      <c r="O189" s="66"/>
      <c r="P189" s="130"/>
      <c r="Q189" s="130"/>
      <c r="R189" s="130"/>
      <c r="S189" s="130"/>
      <c r="T189" s="130"/>
    </row>
    <row r="190" spans="1:20" ht="15.75">
      <c r="A190" s="84"/>
      <c r="B190" s="72">
        <v>74</v>
      </c>
      <c r="C190" s="8" t="s">
        <v>49</v>
      </c>
      <c r="D190" s="9" t="s">
        <v>156</v>
      </c>
      <c r="E190" s="101">
        <f>E192</f>
        <v>64526033.642639995</v>
      </c>
      <c r="F190" s="101">
        <f>F192</f>
        <v>63393370.9636454</v>
      </c>
      <c r="G190" s="90">
        <f>+F190/E190*100</f>
        <v>98.2446423326319</v>
      </c>
      <c r="H190" s="90">
        <f>+G190/H$26*100-100</f>
        <v>-7.664809837751989</v>
      </c>
      <c r="I190" s="101">
        <v>68335060.3355319</v>
      </c>
      <c r="J190" s="101">
        <f>J192</f>
        <v>69417976</v>
      </c>
      <c r="K190" s="246">
        <f>+J190/E190*100</f>
        <v>107.58134675447852</v>
      </c>
      <c r="L190" s="246">
        <f>+K190/$L$26*100-100</f>
        <v>1.683692584573265</v>
      </c>
      <c r="M190" s="101">
        <f>M192</f>
        <v>75321470.469992</v>
      </c>
      <c r="N190" s="90">
        <f>+M190/J190*100</f>
        <v>108.5042734031773</v>
      </c>
      <c r="O190" s="90">
        <f>+N190/O$26*100-100</f>
        <v>3.4359136350593786</v>
      </c>
      <c r="P190" s="130"/>
      <c r="Q190" s="130"/>
      <c r="R190" s="130"/>
      <c r="S190" s="130"/>
      <c r="T190" s="130"/>
    </row>
    <row r="191" spans="1:20" ht="15.75">
      <c r="A191" s="86"/>
      <c r="B191" s="167"/>
      <c r="C191" s="168"/>
      <c r="D191" s="251" t="s">
        <v>48</v>
      </c>
      <c r="E191" s="252">
        <f aca="true" t="shared" si="28" ref="E191:J191">+E190/E$562*100</f>
        <v>1.2210430775325805</v>
      </c>
      <c r="F191" s="252">
        <f t="shared" si="28"/>
        <v>1.2565583937293439</v>
      </c>
      <c r="G191" s="252">
        <f t="shared" si="28"/>
        <v>102.90860468809426</v>
      </c>
      <c r="H191" s="252" t="e">
        <f t="shared" si="28"/>
        <v>#DIV/0!</v>
      </c>
      <c r="I191" s="252">
        <f t="shared" si="28"/>
        <v>1.239053876367281</v>
      </c>
      <c r="J191" s="252">
        <f t="shared" si="28"/>
        <v>1.2184363821459288</v>
      </c>
      <c r="K191" s="98"/>
      <c r="L191" s="98"/>
      <c r="M191" s="252"/>
      <c r="N191" s="99"/>
      <c r="O191" s="99"/>
      <c r="P191" s="130"/>
      <c r="Q191" s="130"/>
      <c r="R191" s="130"/>
      <c r="S191" s="130"/>
      <c r="T191" s="130"/>
    </row>
    <row r="192" spans="1:20" ht="15.75">
      <c r="A192" s="84"/>
      <c r="B192" s="72">
        <v>740</v>
      </c>
      <c r="C192" s="8"/>
      <c r="D192" s="9" t="s">
        <v>157</v>
      </c>
      <c r="E192" s="101">
        <f>E194+E206+E211+E221</f>
        <v>64526033.642639995</v>
      </c>
      <c r="F192" s="101">
        <f>F194+F206+F211+F221</f>
        <v>63393370.9636454</v>
      </c>
      <c r="G192" s="90">
        <f>+F192/E192*100</f>
        <v>98.2446423326319</v>
      </c>
      <c r="H192" s="90">
        <f>+G192/H$26*100-100</f>
        <v>-7.664809837751989</v>
      </c>
      <c r="I192" s="101">
        <v>68335060.3355319</v>
      </c>
      <c r="J192" s="101">
        <f>J194+J206+J211+J221</f>
        <v>69417976</v>
      </c>
      <c r="K192" s="246">
        <f>+J192/E192*100</f>
        <v>107.58134675447852</v>
      </c>
      <c r="L192" s="246">
        <f>+K192/$L$26*100-100</f>
        <v>1.683692584573265</v>
      </c>
      <c r="M192" s="101">
        <f>M194+M206+M211+M221</f>
        <v>75321470.469992</v>
      </c>
      <c r="N192" s="90">
        <f>+M192/J192*100</f>
        <v>108.5042734031773</v>
      </c>
      <c r="O192" s="90">
        <f>+N192/O$26*100-100</f>
        <v>3.4359136350593786</v>
      </c>
      <c r="P192" s="130"/>
      <c r="Q192" s="130"/>
      <c r="R192" s="130"/>
      <c r="S192" s="130"/>
      <c r="T192" s="130"/>
    </row>
    <row r="193" spans="1:20" ht="15.75">
      <c r="A193" s="86"/>
      <c r="B193" s="167"/>
      <c r="C193" s="168"/>
      <c r="D193" s="251" t="s">
        <v>48</v>
      </c>
      <c r="E193" s="252">
        <f aca="true" t="shared" si="29" ref="E193:J193">+E192/E$562*100</f>
        <v>1.2210430775325805</v>
      </c>
      <c r="F193" s="252">
        <f t="shared" si="29"/>
        <v>1.2565583937293439</v>
      </c>
      <c r="G193" s="252">
        <f t="shared" si="29"/>
        <v>102.90860468809426</v>
      </c>
      <c r="H193" s="252" t="e">
        <f t="shared" si="29"/>
        <v>#DIV/0!</v>
      </c>
      <c r="I193" s="252">
        <f t="shared" si="29"/>
        <v>1.239053876367281</v>
      </c>
      <c r="J193" s="252">
        <f t="shared" si="29"/>
        <v>1.2184363821459288</v>
      </c>
      <c r="K193" s="98"/>
      <c r="L193" s="98"/>
      <c r="M193" s="252">
        <f>+M192/M$562*100</f>
        <v>1.2174544266824854</v>
      </c>
      <c r="N193" s="99"/>
      <c r="O193" s="99"/>
      <c r="P193" s="130"/>
      <c r="Q193" s="130"/>
      <c r="R193" s="130"/>
      <c r="S193" s="130"/>
      <c r="T193" s="130"/>
    </row>
    <row r="194" spans="1:20" ht="15.75">
      <c r="A194" s="84"/>
      <c r="B194" s="72">
        <v>7400</v>
      </c>
      <c r="C194" s="13"/>
      <c r="D194" s="9" t="s">
        <v>158</v>
      </c>
      <c r="E194" s="101">
        <f>+E196+E198+E200+E202+E204</f>
        <v>4334370.33806</v>
      </c>
      <c r="F194" s="101">
        <f>+F196+F198+F200+F202+F204</f>
        <v>5162532.2667461075</v>
      </c>
      <c r="G194" s="90">
        <f>+F194/E194*100</f>
        <v>119.10685668490386</v>
      </c>
      <c r="H194" s="90">
        <f>+G194/H$26*100-100</f>
        <v>11.942534478293098</v>
      </c>
      <c r="I194" s="101">
        <v>4106499.0925525194</v>
      </c>
      <c r="J194" s="101">
        <f>+J196+J198+J200+J202+J204+J205</f>
        <v>4280274</v>
      </c>
      <c r="K194" s="246">
        <f>+J194/E194*100</f>
        <v>98.75192164395872</v>
      </c>
      <c r="L194" s="246">
        <f>+K194/$L$26*100-100</f>
        <v>-6.661699769415193</v>
      </c>
      <c r="M194" s="101">
        <f>+M196+M198+M200+M202+M204</f>
        <v>4233465.060992</v>
      </c>
      <c r="N194" s="90">
        <f>+M194/J194*100</f>
        <v>98.90640321138319</v>
      </c>
      <c r="O194" s="90">
        <f>+N194/O$26*100-100</f>
        <v>-5.7136289691294735</v>
      </c>
      <c r="P194" s="130"/>
      <c r="Q194" s="130"/>
      <c r="R194" s="130"/>
      <c r="S194" s="130"/>
      <c r="T194" s="130"/>
    </row>
    <row r="195" spans="1:20" ht="15.75">
      <c r="A195" s="84"/>
      <c r="B195" s="167"/>
      <c r="C195" s="168"/>
      <c r="D195" s="251" t="s">
        <v>48</v>
      </c>
      <c r="E195" s="252">
        <f aca="true" t="shared" si="30" ref="E195:J195">+E194/E$562*100</f>
        <v>0.08202042800370365</v>
      </c>
      <c r="F195" s="252">
        <f t="shared" si="30"/>
        <v>0.10232967823084455</v>
      </c>
      <c r="G195" s="252">
        <f t="shared" si="30"/>
        <v>124.76120976377227</v>
      </c>
      <c r="H195" s="252" t="e">
        <f t="shared" si="30"/>
        <v>#DIV/0!</v>
      </c>
      <c r="I195" s="252">
        <f t="shared" si="30"/>
        <v>0.07445919552777863</v>
      </c>
      <c r="J195" s="252">
        <f t="shared" si="30"/>
        <v>0.07512811331683429</v>
      </c>
      <c r="K195" s="98"/>
      <c r="L195" s="98"/>
      <c r="M195" s="252">
        <f>+M194/M$562*100</f>
        <v>0.06842737862856403</v>
      </c>
      <c r="N195" s="99"/>
      <c r="O195" s="99"/>
      <c r="P195" s="130"/>
      <c r="Q195" s="130"/>
      <c r="R195" s="130"/>
      <c r="S195" s="130"/>
      <c r="T195" s="130"/>
    </row>
    <row r="196" spans="1:20" ht="15">
      <c r="A196" s="86"/>
      <c r="B196" s="74">
        <v>740003</v>
      </c>
      <c r="C196" s="15"/>
      <c r="D196" s="16" t="s">
        <v>159</v>
      </c>
      <c r="E196" s="100"/>
      <c r="F196" s="90"/>
      <c r="G196" s="90"/>
      <c r="H196" s="90" t="s">
        <v>5</v>
      </c>
      <c r="I196" s="100"/>
      <c r="J196" s="66"/>
      <c r="K196" s="246"/>
      <c r="L196" s="246"/>
      <c r="M196" s="66">
        <f>+J196*M$29/100</f>
        <v>0</v>
      </c>
      <c r="N196" s="90" t="s">
        <v>5</v>
      </c>
      <c r="O196" s="90" t="s">
        <v>5</v>
      </c>
      <c r="P196" s="130"/>
      <c r="Q196" s="130"/>
      <c r="R196" s="130"/>
      <c r="S196" s="130"/>
      <c r="T196" s="130"/>
    </row>
    <row r="197" spans="1:20" ht="16.5" customHeight="1" hidden="1">
      <c r="A197" s="84"/>
      <c r="B197" s="74" t="s">
        <v>5</v>
      </c>
      <c r="C197" s="13"/>
      <c r="D197" s="14" t="s">
        <v>160</v>
      </c>
      <c r="E197" s="100" t="e">
        <f>+'fn 2004TP'!#REF!</f>
        <v>#REF!</v>
      </c>
      <c r="F197" s="90">
        <v>0</v>
      </c>
      <c r="G197" s="90" t="e">
        <f>+F197/E197*100</f>
        <v>#REF!</v>
      </c>
      <c r="H197" s="66"/>
      <c r="I197" s="100"/>
      <c r="J197" s="66">
        <f>+'[2]REALJAN-JUN,PROJ  (2)'!AR206</f>
        <v>0</v>
      </c>
      <c r="K197" s="246" t="e">
        <f>+J197/E197*100</f>
        <v>#REF!</v>
      </c>
      <c r="L197" s="246" t="e">
        <f>+K197/$L$26*100-100</f>
        <v>#REF!</v>
      </c>
      <c r="M197" s="66"/>
      <c r="N197" s="66"/>
      <c r="O197" s="66"/>
      <c r="P197" s="130"/>
      <c r="Q197" s="130"/>
      <c r="R197" s="130"/>
      <c r="S197" s="130"/>
      <c r="T197" s="130"/>
    </row>
    <row r="198" spans="1:20" ht="15">
      <c r="A198" s="86"/>
      <c r="B198" s="74">
        <v>740004</v>
      </c>
      <c r="C198" s="15"/>
      <c r="D198" s="16" t="s">
        <v>161</v>
      </c>
      <c r="E198" s="100">
        <v>668672.19775</v>
      </c>
      <c r="F198" s="66">
        <v>193120.862983156</v>
      </c>
      <c r="G198" s="90">
        <f>+F198/E198*100</f>
        <v>28.88124609232805</v>
      </c>
      <c r="H198" s="90">
        <f>+G198/H$26*100-100</f>
        <v>-72.8559717177368</v>
      </c>
      <c r="I198" s="100">
        <v>183723.08120315598</v>
      </c>
      <c r="J198" s="66">
        <f>+'[2]REALJAN-JUN,PROJ  (2)'!AR207</f>
        <v>159114</v>
      </c>
      <c r="K198" s="246">
        <f>+J198/E198*100</f>
        <v>23.795516029438506</v>
      </c>
      <c r="L198" s="246">
        <f>+K198/$L$26*100-100</f>
        <v>-77.50896405535113</v>
      </c>
      <c r="M198" s="66">
        <f>+J198*M$29/100</f>
        <v>166910.586</v>
      </c>
      <c r="N198" s="90">
        <f>+M198/J198*100</f>
        <v>104.90000000000002</v>
      </c>
      <c r="O198" s="90">
        <f>+N198/O$26*100-100</f>
        <v>0</v>
      </c>
      <c r="P198" s="130"/>
      <c r="Q198" s="130"/>
      <c r="R198" s="130"/>
      <c r="S198" s="130"/>
      <c r="T198" s="130"/>
    </row>
    <row r="199" spans="1:20" ht="15">
      <c r="A199" s="86"/>
      <c r="B199" s="74"/>
      <c r="C199" s="15"/>
      <c r="D199" s="14" t="s">
        <v>162</v>
      </c>
      <c r="E199" s="100"/>
      <c r="F199" s="91"/>
      <c r="G199" s="90"/>
      <c r="H199" s="89"/>
      <c r="I199" s="100"/>
      <c r="J199" s="66"/>
      <c r="K199" s="246"/>
      <c r="L199" s="246"/>
      <c r="M199" s="89"/>
      <c r="N199" s="89"/>
      <c r="O199" s="89"/>
      <c r="P199" s="130"/>
      <c r="Q199" s="130"/>
      <c r="R199" s="130"/>
      <c r="S199" s="130"/>
      <c r="T199" s="130"/>
    </row>
    <row r="200" spans="1:20" ht="15">
      <c r="A200" s="86"/>
      <c r="B200" s="74">
        <v>740007</v>
      </c>
      <c r="C200" s="15"/>
      <c r="D200" s="16" t="s">
        <v>163</v>
      </c>
      <c r="E200" s="100">
        <v>2167653.04022</v>
      </c>
      <c r="F200" s="66">
        <v>2299140.589119289</v>
      </c>
      <c r="G200" s="90">
        <f>+F200/E200*100</f>
        <v>106.06589460857371</v>
      </c>
      <c r="H200" s="90">
        <f>+G200/H$26*100-100</f>
        <v>-0.3140088265284646</v>
      </c>
      <c r="I200" s="100">
        <v>2387816.986383403</v>
      </c>
      <c r="J200" s="66">
        <f>+'[2]REALJAN-JUN,PROJ  (2)'!AR209</f>
        <v>2345395</v>
      </c>
      <c r="K200" s="246">
        <f>+J200/E200*100</f>
        <v>108.19974213963508</v>
      </c>
      <c r="L200" s="246">
        <f>+K200/$L$26*100-100</f>
        <v>2.2681872775378764</v>
      </c>
      <c r="M200" s="66">
        <f>+J200*M$31/100</f>
        <v>2509572.65</v>
      </c>
      <c r="N200" s="90">
        <f>+M200/J200*100</f>
        <v>107</v>
      </c>
      <c r="O200" s="90">
        <f>+N200/O$26*100-100</f>
        <v>2.0019065776930347</v>
      </c>
      <c r="P200" s="130"/>
      <c r="Q200" s="130"/>
      <c r="R200" s="130"/>
      <c r="S200" s="130"/>
      <c r="T200" s="130"/>
    </row>
    <row r="201" spans="1:20" ht="15">
      <c r="A201" s="86"/>
      <c r="B201" s="74"/>
      <c r="C201" s="15"/>
      <c r="D201" s="16" t="s">
        <v>164</v>
      </c>
      <c r="E201" s="100"/>
      <c r="F201" s="91"/>
      <c r="G201" s="90"/>
      <c r="H201" s="89"/>
      <c r="I201" s="100"/>
      <c r="J201" s="66"/>
      <c r="K201" s="246"/>
      <c r="L201" s="246"/>
      <c r="M201" s="89"/>
      <c r="N201" s="89"/>
      <c r="O201" s="89"/>
      <c r="P201" s="130"/>
      <c r="Q201" s="130"/>
      <c r="R201" s="130"/>
      <c r="S201" s="130"/>
      <c r="T201" s="130"/>
    </row>
    <row r="202" spans="1:20" ht="15">
      <c r="A202" s="86"/>
      <c r="B202" s="74">
        <v>740011</v>
      </c>
      <c r="C202" s="15"/>
      <c r="D202" s="16" t="s">
        <v>163</v>
      </c>
      <c r="E202" s="100">
        <v>1498045.1000899998</v>
      </c>
      <c r="F202" s="66">
        <v>1670270.8146436627</v>
      </c>
      <c r="G202" s="90">
        <f>+F202/E202*100</f>
        <v>111.49669756560172</v>
      </c>
      <c r="H202" s="90">
        <f>+G202/H$26*100-100</f>
        <v>4.790129290979067</v>
      </c>
      <c r="I202" s="100">
        <v>1534959.0249659603</v>
      </c>
      <c r="J202" s="66">
        <f>+'[2]REALJAN-JUN,PROJ  (2)'!AR211</f>
        <v>1550944</v>
      </c>
      <c r="K202" s="246">
        <f>+J202/E202*100</f>
        <v>103.53119541640115</v>
      </c>
      <c r="L202" s="246">
        <f>+K202/$L$26*100-100</f>
        <v>-2.144427772777746</v>
      </c>
      <c r="M202" s="66">
        <f>+J202*M$29/100*0.957</f>
        <v>1556981.824992</v>
      </c>
      <c r="N202" s="90">
        <f>+M202/J202*100</f>
        <v>100.38929999999999</v>
      </c>
      <c r="O202" s="90">
        <f>+N202/O$26*100-100</f>
        <v>-4.300000000000011</v>
      </c>
      <c r="P202" s="130"/>
      <c r="Q202" s="130"/>
      <c r="R202" s="130"/>
      <c r="S202" s="130"/>
      <c r="T202" s="130"/>
    </row>
    <row r="203" spans="1:20" ht="15">
      <c r="A203" s="86"/>
      <c r="B203" s="74"/>
      <c r="C203" s="15"/>
      <c r="D203" s="16" t="s">
        <v>165</v>
      </c>
      <c r="E203" s="100"/>
      <c r="F203" s="91"/>
      <c r="G203" s="90"/>
      <c r="H203" s="89"/>
      <c r="I203" s="100"/>
      <c r="J203" s="66"/>
      <c r="K203" s="246"/>
      <c r="L203" s="246"/>
      <c r="M203" s="89"/>
      <c r="N203" s="89"/>
      <c r="O203" s="89"/>
      <c r="P203" s="130"/>
      <c r="Q203" s="130"/>
      <c r="R203" s="130"/>
      <c r="S203" s="130"/>
      <c r="T203" s="130"/>
    </row>
    <row r="204" spans="1:20" ht="15.75">
      <c r="A204" s="86"/>
      <c r="B204" s="74">
        <v>740014</v>
      </c>
      <c r="C204" s="15"/>
      <c r="D204" s="11" t="s">
        <v>166</v>
      </c>
      <c r="E204" s="100"/>
      <c r="F204" s="91">
        <v>1000000</v>
      </c>
      <c r="G204" s="90"/>
      <c r="H204" s="89"/>
      <c r="I204" s="100"/>
      <c r="J204" s="101">
        <f>+'[1]REALJAN-JUL,PROJ  (2)'!$AR$213</f>
        <v>224817</v>
      </c>
      <c r="K204" s="246"/>
      <c r="L204" s="246"/>
      <c r="M204" s="437"/>
      <c r="N204" s="89"/>
      <c r="O204" s="89"/>
      <c r="P204" s="130"/>
      <c r="Q204" s="130"/>
      <c r="R204" s="130"/>
      <c r="S204" s="130"/>
      <c r="T204" s="130"/>
    </row>
    <row r="205" spans="1:20" ht="15">
      <c r="A205" s="86"/>
      <c r="B205" s="74">
        <v>740015</v>
      </c>
      <c r="C205" s="15"/>
      <c r="D205" s="16" t="s">
        <v>167</v>
      </c>
      <c r="E205" s="100"/>
      <c r="F205" s="91"/>
      <c r="G205" s="90"/>
      <c r="H205" s="89"/>
      <c r="I205" s="100"/>
      <c r="J205" s="89">
        <f>+'[1]REALJAN-JUN,PROJ  (2)'!$AR$214</f>
        <v>4</v>
      </c>
      <c r="K205" s="246"/>
      <c r="L205" s="246"/>
      <c r="M205" s="89"/>
      <c r="N205" s="89"/>
      <c r="O205" s="89"/>
      <c r="P205" s="130"/>
      <c r="Q205" s="130"/>
      <c r="R205" s="130"/>
      <c r="S205" s="130"/>
      <c r="T205" s="130"/>
    </row>
    <row r="206" spans="1:20" ht="15.75">
      <c r="A206" s="84"/>
      <c r="B206" s="72">
        <v>7401</v>
      </c>
      <c r="C206" s="13"/>
      <c r="D206" s="9" t="s">
        <v>168</v>
      </c>
      <c r="E206" s="101">
        <f>E207</f>
        <v>2980682.3494</v>
      </c>
      <c r="F206" s="101">
        <f>F207</f>
        <v>2529798.19232</v>
      </c>
      <c r="G206" s="90">
        <f>+F206/E206*100</f>
        <v>84.87312285488048</v>
      </c>
      <c r="H206" s="90">
        <f>+G206/H$26*100-100</f>
        <v>-20.23202739202962</v>
      </c>
      <c r="I206" s="101">
        <v>2792033.2626796095</v>
      </c>
      <c r="J206" s="101">
        <f>J207</f>
        <v>3544001</v>
      </c>
      <c r="K206" s="246">
        <f>+J206/E206*100</f>
        <v>118.898983003452</v>
      </c>
      <c r="L206" s="246">
        <f>+K206/$L$26*100-100</f>
        <v>12.380891307610597</v>
      </c>
      <c r="M206" s="101">
        <f>M207</f>
        <v>3717657.0490000006</v>
      </c>
      <c r="N206" s="90">
        <f>+M206/J206*100</f>
        <v>104.90000000000002</v>
      </c>
      <c r="O206" s="90">
        <f>+N206/O$26*100-100</f>
        <v>0</v>
      </c>
      <c r="P206" s="130"/>
      <c r="Q206" s="130"/>
      <c r="R206" s="130"/>
      <c r="S206" s="130"/>
      <c r="T206" s="130"/>
    </row>
    <row r="207" spans="1:20" ht="15">
      <c r="A207" s="86"/>
      <c r="B207" s="74">
        <v>740102</v>
      </c>
      <c r="C207" s="15"/>
      <c r="D207" s="16" t="s">
        <v>161</v>
      </c>
      <c r="E207" s="100">
        <v>2980682.3494</v>
      </c>
      <c r="F207" s="66">
        <v>2529798.19232</v>
      </c>
      <c r="G207" s="90">
        <f>+F207/E207*100</f>
        <v>84.87312285488048</v>
      </c>
      <c r="H207" s="90">
        <f>+G207/H$26*100-100</f>
        <v>-20.23202739202962</v>
      </c>
      <c r="I207" s="100">
        <v>2792033.2626796095</v>
      </c>
      <c r="J207" s="66">
        <f>+'[2]REALJAN-JUN,PROJ  (2)'!AR216</f>
        <v>3544001</v>
      </c>
      <c r="K207" s="246">
        <f>+J207/E207*100</f>
        <v>118.898983003452</v>
      </c>
      <c r="L207" s="246">
        <f>+K207/$L$26*100-100</f>
        <v>12.380891307610597</v>
      </c>
      <c r="M207" s="66">
        <f>+J207*M$29/100</f>
        <v>3717657.0490000006</v>
      </c>
      <c r="N207" s="90">
        <f>+M207/J207*100</f>
        <v>104.90000000000002</v>
      </c>
      <c r="O207" s="90">
        <f>+N207/O$26*100-100</f>
        <v>0</v>
      </c>
      <c r="P207" s="130"/>
      <c r="Q207" s="130"/>
      <c r="R207" s="130"/>
      <c r="S207" s="130"/>
      <c r="T207" s="130"/>
    </row>
    <row r="208" spans="1:20" ht="15">
      <c r="A208" s="86"/>
      <c r="B208" s="74"/>
      <c r="C208" s="15"/>
      <c r="D208" s="14" t="s">
        <v>169</v>
      </c>
      <c r="E208" s="100"/>
      <c r="F208" s="91"/>
      <c r="G208" s="90"/>
      <c r="H208" s="89"/>
      <c r="I208" s="100"/>
      <c r="J208" s="89"/>
      <c r="K208" s="246"/>
      <c r="L208" s="246"/>
      <c r="M208" s="89"/>
      <c r="N208" s="89"/>
      <c r="O208" s="89"/>
      <c r="P208" s="130"/>
      <c r="Q208" s="130"/>
      <c r="R208" s="130"/>
      <c r="S208" s="130"/>
      <c r="T208" s="130"/>
    </row>
    <row r="209" spans="1:20" ht="16.5" customHeight="1" hidden="1">
      <c r="A209" s="86"/>
      <c r="B209" s="74"/>
      <c r="C209" s="15"/>
      <c r="D209" s="16"/>
      <c r="E209" s="100" t="e">
        <f>+'fn 2004TP'!#REF!</f>
        <v>#REF!</v>
      </c>
      <c r="F209" s="91">
        <v>0</v>
      </c>
      <c r="G209" s="90" t="e">
        <f>+F209/E209*100</f>
        <v>#REF!</v>
      </c>
      <c r="H209" s="89"/>
      <c r="I209" s="100"/>
      <c r="J209" s="89"/>
      <c r="K209" s="246" t="e">
        <f>+J209/E209*100</f>
        <v>#REF!</v>
      </c>
      <c r="L209" s="246" t="e">
        <f>+K209/$L$26*100-100</f>
        <v>#REF!</v>
      </c>
      <c r="M209" s="89"/>
      <c r="N209" s="89"/>
      <c r="O209" s="89"/>
      <c r="P209" s="130"/>
      <c r="Q209" s="130"/>
      <c r="R209" s="130"/>
      <c r="S209" s="130"/>
      <c r="T209" s="130"/>
    </row>
    <row r="210" spans="1:20" ht="16.5" customHeight="1" hidden="1">
      <c r="A210" s="86"/>
      <c r="B210" s="74"/>
      <c r="C210" s="15"/>
      <c r="D210" s="16"/>
      <c r="E210" s="100" t="e">
        <f>+'fn 2004TP'!#REF!</f>
        <v>#REF!</v>
      </c>
      <c r="F210" s="91">
        <v>0</v>
      </c>
      <c r="G210" s="90" t="e">
        <f>+F210/E210*100</f>
        <v>#REF!</v>
      </c>
      <c r="H210" s="89"/>
      <c r="I210" s="100"/>
      <c r="J210" s="89"/>
      <c r="K210" s="246" t="e">
        <f>+J210/E210*100</f>
        <v>#REF!</v>
      </c>
      <c r="L210" s="246" t="e">
        <f>+K210/$L$26*100-100</f>
        <v>#REF!</v>
      </c>
      <c r="M210" s="89"/>
      <c r="N210" s="89"/>
      <c r="O210" s="89"/>
      <c r="P210" s="130"/>
      <c r="Q210" s="130"/>
      <c r="R210" s="130"/>
      <c r="S210" s="130"/>
      <c r="T210" s="130"/>
    </row>
    <row r="211" spans="1:20" ht="15.75">
      <c r="A211" s="84"/>
      <c r="B211" s="72">
        <v>7402</v>
      </c>
      <c r="C211" s="13"/>
      <c r="D211" s="9" t="s">
        <v>170</v>
      </c>
      <c r="E211" s="101">
        <f>+E213+E215+E217</f>
        <v>57210980.95518</v>
      </c>
      <c r="F211" s="101">
        <f>+F213+F215+F217</f>
        <v>55701040.50457929</v>
      </c>
      <c r="G211" s="90">
        <f>+F211/E211*100</f>
        <v>97.360750636694</v>
      </c>
      <c r="H211" s="90">
        <f>+G211/H$26*100-100</f>
        <v>-8.495535115889112</v>
      </c>
      <c r="I211" s="101">
        <v>61436527.98029978</v>
      </c>
      <c r="J211" s="101">
        <f>+J213+J215+J217</f>
        <v>61593701</v>
      </c>
      <c r="K211" s="246">
        <f>+J211/E211*100</f>
        <v>107.66062733350701</v>
      </c>
      <c r="L211" s="246">
        <f>+K211/$L$26*100-100</f>
        <v>1.7586269692883008</v>
      </c>
      <c r="M211" s="101">
        <f>+M213+M215+M217</f>
        <v>67370348.36</v>
      </c>
      <c r="N211" s="90">
        <f>+M211/J211*100</f>
        <v>109.37863331187063</v>
      </c>
      <c r="O211" s="90">
        <f>+N211/O$26*100-100</f>
        <v>4.2694311838614</v>
      </c>
      <c r="P211" s="130"/>
      <c r="Q211" s="130"/>
      <c r="R211" s="130"/>
      <c r="S211" s="130"/>
      <c r="T211" s="130"/>
    </row>
    <row r="212" spans="1:20" ht="15.75">
      <c r="A212" s="84"/>
      <c r="B212" s="167"/>
      <c r="C212" s="168"/>
      <c r="D212" s="251" t="s">
        <v>48</v>
      </c>
      <c r="E212" s="252">
        <f aca="true" t="shared" si="31" ref="E212:J212">+E211/E$562*100</f>
        <v>1.0826184147789923</v>
      </c>
      <c r="F212" s="252">
        <f t="shared" si="31"/>
        <v>1.1040840536091039</v>
      </c>
      <c r="G212" s="252">
        <f t="shared" si="31"/>
        <v>101.98275205160753</v>
      </c>
      <c r="H212" s="252" t="e">
        <f t="shared" si="31"/>
        <v>#DIV/0!</v>
      </c>
      <c r="I212" s="252">
        <f t="shared" si="31"/>
        <v>1.1139694290275748</v>
      </c>
      <c r="J212" s="252">
        <f t="shared" si="31"/>
        <v>1.0811033471995506</v>
      </c>
      <c r="K212" s="98"/>
      <c r="L212" s="98"/>
      <c r="M212" s="252">
        <f>+M211/M$562*100</f>
        <v>1.0889369037305232</v>
      </c>
      <c r="N212" s="99"/>
      <c r="O212" s="99"/>
      <c r="P212" s="130"/>
      <c r="Q212" s="130"/>
      <c r="R212" s="130"/>
      <c r="S212" s="130"/>
      <c r="T212" s="130"/>
    </row>
    <row r="213" spans="1:20" ht="15">
      <c r="A213" s="84"/>
      <c r="B213" s="74">
        <v>740202</v>
      </c>
      <c r="C213" s="15"/>
      <c r="D213" s="16" t="s">
        <v>171</v>
      </c>
      <c r="E213" s="100">
        <v>56253458.46632</v>
      </c>
      <c r="F213" s="91">
        <v>55464480.76777929</v>
      </c>
      <c r="G213" s="90">
        <f>+F213/E213*100</f>
        <v>98.59745921397332</v>
      </c>
      <c r="H213" s="90">
        <f>+G213/H$26*100-100</f>
        <v>-7.333215024461168</v>
      </c>
      <c r="I213" s="100">
        <v>61168810.48385999</v>
      </c>
      <c r="J213" s="66">
        <f>+'[2]REALJAN-JUN,PROJ  (2)'!AR222</f>
        <v>59296153</v>
      </c>
      <c r="K213" s="246">
        <f>+J213/E213*100</f>
        <v>105.40890216643608</v>
      </c>
      <c r="L213" s="246">
        <f>+K213/$L$26*100-100</f>
        <v>-0.3696576876785542</v>
      </c>
      <c r="M213" s="91">
        <v>64911972</v>
      </c>
      <c r="N213" s="90">
        <f>+M213/J213*100</f>
        <v>109.47079821518943</v>
      </c>
      <c r="O213" s="90">
        <f>+N213/O$26*100-100</f>
        <v>4.357290958235865</v>
      </c>
      <c r="P213" s="130"/>
      <c r="Q213" s="130"/>
      <c r="R213" s="130"/>
      <c r="S213" s="130"/>
      <c r="T213" s="130"/>
    </row>
    <row r="214" spans="1:20" ht="15">
      <c r="A214" s="84"/>
      <c r="B214" s="74" t="s">
        <v>5</v>
      </c>
      <c r="C214" s="13"/>
      <c r="D214" s="14" t="s">
        <v>172</v>
      </c>
      <c r="E214" s="100"/>
      <c r="F214" s="91"/>
      <c r="G214" s="90"/>
      <c r="H214" s="66"/>
      <c r="I214" s="100"/>
      <c r="J214" s="66"/>
      <c r="K214" s="246"/>
      <c r="L214" s="246"/>
      <c r="M214" s="66"/>
      <c r="N214" s="66"/>
      <c r="O214" s="66"/>
      <c r="P214" s="130"/>
      <c r="Q214" s="130"/>
      <c r="R214" s="130"/>
      <c r="S214" s="130"/>
      <c r="T214" s="130"/>
    </row>
    <row r="215" spans="1:20" ht="15">
      <c r="A215" s="84"/>
      <c r="B215" s="74">
        <v>740204</v>
      </c>
      <c r="C215" s="15"/>
      <c r="D215" s="16" t="s">
        <v>163</v>
      </c>
      <c r="E215" s="100">
        <v>257793.31753</v>
      </c>
      <c r="F215" s="66">
        <v>236559.73679999998</v>
      </c>
      <c r="G215" s="90">
        <f>+F215/E215*100</f>
        <v>91.76333159701511</v>
      </c>
      <c r="H215" s="90">
        <f>+G215/H$26*100-100</f>
        <v>-13.756267296038445</v>
      </c>
      <c r="I215" s="100">
        <v>267717.496439784</v>
      </c>
      <c r="J215" s="66">
        <f>+'[2]REALJAN-JUN,PROJ  (2)'!AR224</f>
        <v>278798</v>
      </c>
      <c r="K215" s="246">
        <f>+J215/E215*100</f>
        <v>108.14787701684922</v>
      </c>
      <c r="L215" s="246">
        <f>+K215/$L$26*100-100</f>
        <v>2.2191654223527593</v>
      </c>
      <c r="M215" s="66">
        <f>+J215*M$31/100</f>
        <v>298313.86</v>
      </c>
      <c r="N215" s="90">
        <f>+M215/J215*100</f>
        <v>106.99999999999999</v>
      </c>
      <c r="O215" s="90">
        <f>+N215/O$26*100-100</f>
        <v>2.0019065776930063</v>
      </c>
      <c r="P215" s="130"/>
      <c r="Q215" s="130"/>
      <c r="R215" s="130"/>
      <c r="S215" s="130"/>
      <c r="T215" s="130"/>
    </row>
    <row r="216" spans="1:20" ht="15">
      <c r="A216" s="84"/>
      <c r="B216" s="74"/>
      <c r="C216" s="15"/>
      <c r="D216" s="16" t="s">
        <v>173</v>
      </c>
      <c r="E216" s="100"/>
      <c r="F216" s="91"/>
      <c r="G216" s="90"/>
      <c r="H216" s="66"/>
      <c r="I216" s="100"/>
      <c r="J216" s="66"/>
      <c r="K216" s="246"/>
      <c r="L216" s="246"/>
      <c r="M216" s="66"/>
      <c r="N216" s="66"/>
      <c r="O216" s="66"/>
      <c r="P216" s="130"/>
      <c r="Q216" s="130"/>
      <c r="R216" s="130"/>
      <c r="S216" s="130"/>
      <c r="T216" s="130"/>
    </row>
    <row r="217" spans="1:20" ht="15">
      <c r="A217" s="84"/>
      <c r="B217" s="74">
        <v>740207</v>
      </c>
      <c r="C217" s="15"/>
      <c r="D217" s="16" t="s">
        <v>163</v>
      </c>
      <c r="E217" s="100">
        <v>699729.17133</v>
      </c>
      <c r="F217" s="91">
        <v>0</v>
      </c>
      <c r="G217" s="90"/>
      <c r="H217" s="66"/>
      <c r="I217" s="100">
        <v>0</v>
      </c>
      <c r="J217" s="66">
        <f>+'[2]REALJAN-JUN,PROJ  (2)'!AR226</f>
        <v>2018750</v>
      </c>
      <c r="K217" s="246">
        <f>+J217/E217*100</f>
        <v>288.50447897761507</v>
      </c>
      <c r="L217" s="246">
        <f>+K217/$L$26*100-100</f>
        <v>172.6885434571031</v>
      </c>
      <c r="M217" s="66">
        <f>+J217*M$31/100</f>
        <v>2160062.5</v>
      </c>
      <c r="N217" s="90">
        <f>+M217/J217*100</f>
        <v>107</v>
      </c>
      <c r="O217" s="90">
        <f>+N217/O$26*100-100</f>
        <v>2.0019065776930347</v>
      </c>
      <c r="P217" s="130"/>
      <c r="Q217" s="130"/>
      <c r="R217" s="130"/>
      <c r="S217" s="130"/>
      <c r="T217" s="130"/>
    </row>
    <row r="218" spans="1:20" ht="15">
      <c r="A218" s="84"/>
      <c r="B218" s="74"/>
      <c r="C218" s="15"/>
      <c r="D218" s="16" t="s">
        <v>174</v>
      </c>
      <c r="E218" s="100"/>
      <c r="F218" s="90"/>
      <c r="G218" s="90"/>
      <c r="H218" s="66"/>
      <c r="I218" s="100"/>
      <c r="J218" s="66"/>
      <c r="K218" s="246"/>
      <c r="L218" s="246"/>
      <c r="M218" s="66"/>
      <c r="N218" s="66"/>
      <c r="O218" s="66"/>
      <c r="P218" s="130"/>
      <c r="Q218" s="130"/>
      <c r="R218" s="130"/>
      <c r="S218" s="130"/>
      <c r="T218" s="130"/>
    </row>
    <row r="219" spans="1:20" ht="15.75" thickBot="1">
      <c r="A219" s="84"/>
      <c r="B219" s="467" t="s">
        <v>175</v>
      </c>
      <c r="C219" s="468"/>
      <c r="D219" s="469" t="s">
        <v>176</v>
      </c>
      <c r="E219" s="470"/>
      <c r="F219" s="471"/>
      <c r="G219" s="472"/>
      <c r="H219" s="470"/>
      <c r="I219" s="472"/>
      <c r="J219" s="470"/>
      <c r="K219" s="472"/>
      <c r="L219" s="472"/>
      <c r="M219" s="470"/>
      <c r="N219" s="470"/>
      <c r="O219" s="470"/>
      <c r="P219" s="130"/>
      <c r="Q219" s="130"/>
      <c r="R219" s="130"/>
      <c r="S219" s="130"/>
      <c r="T219" s="130"/>
    </row>
    <row r="220" spans="1:20" ht="18" customHeight="1" hidden="1" thickBot="1" thickTop="1">
      <c r="A220" s="86"/>
      <c r="B220" s="74"/>
      <c r="C220" s="15"/>
      <c r="D220" s="16"/>
      <c r="E220" s="89"/>
      <c r="F220" s="104"/>
      <c r="G220" s="105" t="e">
        <f>+F220/E220*100</f>
        <v>#DIV/0!</v>
      </c>
      <c r="H220" s="89"/>
      <c r="I220" s="105"/>
      <c r="J220" s="89"/>
      <c r="K220" s="293"/>
      <c r="L220" s="293">
        <f>+K220/$L$26*100-100</f>
        <v>-100</v>
      </c>
      <c r="M220" s="89"/>
      <c r="N220" s="89"/>
      <c r="O220" s="89"/>
      <c r="P220" s="130"/>
      <c r="Q220" s="130"/>
      <c r="R220" s="130"/>
      <c r="S220" s="130"/>
      <c r="T220" s="130"/>
    </row>
    <row r="221" spans="1:20" ht="18" customHeight="1" hidden="1" thickBot="1" thickTop="1">
      <c r="A221" s="84"/>
      <c r="B221" s="73">
        <v>7403</v>
      </c>
      <c r="C221" s="13"/>
      <c r="D221" s="14" t="s">
        <v>177</v>
      </c>
      <c r="E221" s="66"/>
      <c r="F221" s="66"/>
      <c r="G221" s="90" t="e">
        <f>+F221/E221*100</f>
        <v>#DIV/0!</v>
      </c>
      <c r="H221" s="66"/>
      <c r="I221" s="90"/>
      <c r="J221" s="66"/>
      <c r="K221" s="246"/>
      <c r="L221" s="246">
        <f>+K221/$L$26*100-100</f>
        <v>-100</v>
      </c>
      <c r="M221" s="66"/>
      <c r="N221" s="66"/>
      <c r="O221" s="66"/>
      <c r="P221" s="130"/>
      <c r="Q221" s="130"/>
      <c r="R221" s="130"/>
      <c r="S221" s="130"/>
      <c r="T221" s="130"/>
    </row>
    <row r="222" spans="1:20" ht="18" customHeight="1" hidden="1" thickBot="1" thickTop="1">
      <c r="A222" s="84"/>
      <c r="B222" s="76"/>
      <c r="C222" s="18"/>
      <c r="D222" s="19"/>
      <c r="E222" s="93"/>
      <c r="F222" s="93"/>
      <c r="G222" s="90" t="e">
        <f>+F222/E222*100</f>
        <v>#DIV/0!</v>
      </c>
      <c r="H222" s="93"/>
      <c r="I222" s="90"/>
      <c r="J222" s="93"/>
      <c r="K222" s="246"/>
      <c r="L222" s="246">
        <f>+K222/$L$26*100-100</f>
        <v>-100</v>
      </c>
      <c r="M222" s="93"/>
      <c r="N222" s="93"/>
      <c r="O222" s="93"/>
      <c r="P222" s="130"/>
      <c r="Q222" s="130"/>
      <c r="R222" s="130"/>
      <c r="S222" s="130"/>
      <c r="T222" s="130"/>
    </row>
    <row r="223" spans="1:20" ht="18" customHeight="1" hidden="1" thickBot="1" thickTop="1">
      <c r="A223" s="84"/>
      <c r="B223" s="77"/>
      <c r="C223" s="20"/>
      <c r="D223" s="21"/>
      <c r="E223" s="106"/>
      <c r="F223" s="106"/>
      <c r="G223" s="90" t="e">
        <f>+F223/E223*100</f>
        <v>#DIV/0!</v>
      </c>
      <c r="H223" s="106"/>
      <c r="I223" s="90"/>
      <c r="J223" s="106"/>
      <c r="K223" s="246"/>
      <c r="L223" s="246">
        <f>+K223/$L$26*100-100</f>
        <v>-100</v>
      </c>
      <c r="M223" s="106"/>
      <c r="N223" s="106"/>
      <c r="O223" s="106"/>
      <c r="P223" s="130"/>
      <c r="Q223" s="130"/>
      <c r="R223" s="130"/>
      <c r="S223" s="130"/>
      <c r="T223" s="130"/>
    </row>
    <row r="224" spans="1:20" ht="21.75" customHeight="1" thickTop="1">
      <c r="A224" s="84"/>
      <c r="B224" s="177"/>
      <c r="C224" s="178"/>
      <c r="D224" s="179"/>
      <c r="E224" s="107"/>
      <c r="F224" s="107"/>
      <c r="G224" s="90"/>
      <c r="H224" s="107"/>
      <c r="I224" s="90"/>
      <c r="J224" s="107"/>
      <c r="K224" s="246"/>
      <c r="L224" s="246"/>
      <c r="M224" s="107"/>
      <c r="N224" s="107"/>
      <c r="O224" s="107"/>
      <c r="P224" s="130"/>
      <c r="Q224" s="130"/>
      <c r="R224" s="130"/>
      <c r="S224" s="130"/>
      <c r="T224" s="130"/>
    </row>
    <row r="225" spans="1:20" ht="15.75">
      <c r="A225" s="329"/>
      <c r="B225" s="330" t="s">
        <v>5</v>
      </c>
      <c r="C225" s="304" t="s">
        <v>178</v>
      </c>
      <c r="D225" s="248" t="s">
        <v>179</v>
      </c>
      <c r="E225" s="249" t="e">
        <f>E228+E306+E442</f>
        <v>#REF!</v>
      </c>
      <c r="F225" s="249" t="e">
        <f>F228+F306+F442+#REF!</f>
        <v>#REF!</v>
      </c>
      <c r="G225" s="250" t="e">
        <f>+F225/E225*100</f>
        <v>#REF!</v>
      </c>
      <c r="H225" s="250" t="e">
        <f>+G225/H$26*100-100</f>
        <v>#REF!</v>
      </c>
      <c r="I225" s="249">
        <v>380343997.44404405</v>
      </c>
      <c r="J225" s="249">
        <f>J228+J306+J442</f>
        <v>383594169.8844718</v>
      </c>
      <c r="K225" s="250" t="e">
        <f>+J225/E225*100</f>
        <v>#REF!</v>
      </c>
      <c r="L225" s="250" t="e">
        <f>+K225/$L$26*100-100</f>
        <v>#REF!</v>
      </c>
      <c r="M225" s="249">
        <f>M228+M306+M442</f>
        <v>410529027.65409374</v>
      </c>
      <c r="N225" s="250">
        <f>+M225/J225*100</f>
        <v>107.02170676309652</v>
      </c>
      <c r="O225" s="250">
        <f>+N225/O$26*100-100</f>
        <v>2.022599392847013</v>
      </c>
      <c r="P225" s="130"/>
      <c r="Q225" s="130"/>
      <c r="R225" s="130"/>
      <c r="S225" s="130"/>
      <c r="T225" s="130"/>
    </row>
    <row r="226" spans="1:20" ht="15.75">
      <c r="A226" s="84"/>
      <c r="B226" s="253"/>
      <c r="C226" s="166"/>
      <c r="D226" s="251" t="s">
        <v>48</v>
      </c>
      <c r="E226" s="252" t="e">
        <f aca="true" t="shared" si="32" ref="E226:J226">+E225/E$562*100</f>
        <v>#REF!</v>
      </c>
      <c r="F226" s="252" t="e">
        <f t="shared" si="32"/>
        <v>#REF!</v>
      </c>
      <c r="G226" s="252" t="e">
        <f t="shared" si="32"/>
        <v>#REF!</v>
      </c>
      <c r="H226" s="252" t="e">
        <f t="shared" si="32"/>
        <v>#REF!</v>
      </c>
      <c r="I226" s="252">
        <f t="shared" si="32"/>
        <v>6.896411623434644</v>
      </c>
      <c r="J226" s="252">
        <f t="shared" si="32"/>
        <v>6.732911552568266</v>
      </c>
      <c r="K226" s="98"/>
      <c r="L226" s="98"/>
      <c r="M226" s="252">
        <f>+M225/M$562*100</f>
        <v>6.635563258131729</v>
      </c>
      <c r="N226" s="99"/>
      <c r="O226" s="99"/>
      <c r="P226" s="130"/>
      <c r="Q226" s="130"/>
      <c r="R226" s="130"/>
      <c r="S226" s="130"/>
      <c r="T226" s="130"/>
    </row>
    <row r="227" spans="1:20" ht="15">
      <c r="A227" s="84"/>
      <c r="B227" s="73"/>
      <c r="C227" s="13"/>
      <c r="D227" s="14"/>
      <c r="E227" s="100"/>
      <c r="F227" s="66">
        <v>340</v>
      </c>
      <c r="G227" s="90"/>
      <c r="H227" s="66"/>
      <c r="I227" s="90"/>
      <c r="J227" s="66"/>
      <c r="K227" s="246"/>
      <c r="L227" s="246"/>
      <c r="M227" s="66"/>
      <c r="N227" s="66"/>
      <c r="O227" s="66"/>
      <c r="P227" s="130"/>
      <c r="Q227" s="130"/>
      <c r="R227" s="130"/>
      <c r="S227" s="130"/>
      <c r="T227" s="130"/>
    </row>
    <row r="228" spans="1:20" ht="15.75">
      <c r="A228" s="84"/>
      <c r="B228" s="72">
        <v>40</v>
      </c>
      <c r="C228" s="8" t="s">
        <v>132</v>
      </c>
      <c r="D228" s="9" t="s">
        <v>180</v>
      </c>
      <c r="E228" s="101" t="e">
        <f>E231+E247+E254+E285+E293+E301+E299</f>
        <v>#REF!</v>
      </c>
      <c r="F228" s="101">
        <f>F231+F247+F254+F285+F293+F301+F299</f>
        <v>10151190</v>
      </c>
      <c r="G228" s="90" t="e">
        <f>+F228/E228*100</f>
        <v>#REF!</v>
      </c>
      <c r="H228" s="90" t="e">
        <f>+G228/H$26*100-100</f>
        <v>#REF!</v>
      </c>
      <c r="I228" s="101">
        <v>10866248</v>
      </c>
      <c r="J228" s="101">
        <f>J231+J247+J254+J285+J293+J301+J299</f>
        <v>9945480.969999999</v>
      </c>
      <c r="K228" s="246" t="e">
        <f>+J228/E228*100</f>
        <v>#REF!</v>
      </c>
      <c r="L228" s="246" t="e">
        <f>+K228/$L$26*100-100</f>
        <v>#REF!</v>
      </c>
      <c r="M228" s="101">
        <f>M231+M247+M254+M285+M293+M301+M299</f>
        <v>12095309</v>
      </c>
      <c r="N228" s="90">
        <f>+M228/J228*100</f>
        <v>121.61612934039931</v>
      </c>
      <c r="O228" s="90">
        <f>+N228/O$26*100-100</f>
        <v>15.935299657196666</v>
      </c>
      <c r="P228" s="130"/>
      <c r="Q228" s="130"/>
      <c r="R228" s="130"/>
      <c r="S228" s="130"/>
      <c r="T228" s="130"/>
    </row>
    <row r="229" spans="1:20" ht="15.75">
      <c r="A229" s="86"/>
      <c r="B229" s="253"/>
      <c r="C229" s="166"/>
      <c r="D229" s="251" t="s">
        <v>48</v>
      </c>
      <c r="E229" s="252" t="e">
        <f aca="true" t="shared" si="33" ref="E229:J229">+E228/E$562*100</f>
        <v>#REF!</v>
      </c>
      <c r="F229" s="252">
        <f t="shared" si="33"/>
        <v>0.20121288404360754</v>
      </c>
      <c r="G229" s="252" t="e">
        <f t="shared" si="33"/>
        <v>#REF!</v>
      </c>
      <c r="H229" s="252" t="e">
        <f t="shared" si="33"/>
        <v>#REF!</v>
      </c>
      <c r="I229" s="252">
        <f t="shared" si="33"/>
        <v>0.1970272161882831</v>
      </c>
      <c r="J229" s="252">
        <f t="shared" si="33"/>
        <v>0.17456481087532688</v>
      </c>
      <c r="K229" s="98"/>
      <c r="L229" s="98"/>
      <c r="M229" s="252">
        <f>+M228/M$562*100</f>
        <v>0.19550185879614662</v>
      </c>
      <c r="N229" s="99"/>
      <c r="O229" s="99"/>
      <c r="P229" s="130"/>
      <c r="Q229" s="130"/>
      <c r="R229" s="130"/>
      <c r="S229" s="130"/>
      <c r="T229" s="130"/>
    </row>
    <row r="230" spans="1:20" ht="15.75">
      <c r="A230" s="84"/>
      <c r="B230" s="73"/>
      <c r="C230" s="13"/>
      <c r="D230" s="14"/>
      <c r="E230" s="100"/>
      <c r="F230" s="66"/>
      <c r="G230" s="90"/>
      <c r="H230" s="66"/>
      <c r="I230" s="108"/>
      <c r="J230" s="66"/>
      <c r="K230" s="246"/>
      <c r="L230" s="246"/>
      <c r="M230" s="66"/>
      <c r="N230" s="66"/>
      <c r="O230" s="66"/>
      <c r="P230" s="130"/>
      <c r="Q230" s="130"/>
      <c r="R230" s="130"/>
      <c r="S230" s="130"/>
      <c r="T230" s="130"/>
    </row>
    <row r="231" spans="1:20" ht="15.75">
      <c r="A231" s="84"/>
      <c r="B231" s="72">
        <v>400</v>
      </c>
      <c r="C231" s="8"/>
      <c r="D231" s="9" t="s">
        <v>181</v>
      </c>
      <c r="E231" s="240">
        <v>3804237.3887199997</v>
      </c>
      <c r="F231" s="101">
        <v>3925992</v>
      </c>
      <c r="G231" s="90">
        <f aca="true" t="shared" si="34" ref="G231:G238">+F231/E231*100</f>
        <v>103.20049983318644</v>
      </c>
      <c r="H231" s="90">
        <f>+G231/H$26*100-100</f>
        <v>-3.0070490289601253</v>
      </c>
      <c r="I231" s="101">
        <v>4208705</v>
      </c>
      <c r="J231" s="355">
        <f>+'[2]REALJAN-JUN,PROJ  (2)'!AR240</f>
        <v>4189128</v>
      </c>
      <c r="K231" s="246">
        <f aca="true" t="shared" si="35" ref="K231:K238">+J231/E231*100</f>
        <v>110.11741834043389</v>
      </c>
      <c r="L231" s="246">
        <f aca="true" t="shared" si="36" ref="L231:L238">+K231/$L$26*100-100</f>
        <v>4.080735671487616</v>
      </c>
      <c r="M231" s="101">
        <f>SUM(M239:M245)</f>
        <v>4342985</v>
      </c>
      <c r="N231" s="90">
        <f>+M231/J231*100</f>
        <v>103.67276912999554</v>
      </c>
      <c r="O231" s="90">
        <f>+N231/O$26*100-100</f>
        <v>-1.169905500480894</v>
      </c>
      <c r="P231" s="130"/>
      <c r="Q231" s="130"/>
      <c r="R231" s="130"/>
      <c r="S231" s="130"/>
      <c r="T231" s="130"/>
    </row>
    <row r="232" spans="1:20" ht="16.5" customHeight="1" hidden="1">
      <c r="A232" s="84"/>
      <c r="B232" s="73">
        <v>4000</v>
      </c>
      <c r="C232" s="13"/>
      <c r="D232" s="14" t="s">
        <v>182</v>
      </c>
      <c r="E232" s="100" t="e">
        <f>+'fn 2004TP'!#REF!</f>
        <v>#REF!</v>
      </c>
      <c r="F232" s="110">
        <v>0</v>
      </c>
      <c r="G232" s="90" t="e">
        <f t="shared" si="34"/>
        <v>#REF!</v>
      </c>
      <c r="H232" s="110"/>
      <c r="I232" s="91"/>
      <c r="J232" s="394"/>
      <c r="K232" s="246" t="e">
        <f t="shared" si="35"/>
        <v>#REF!</v>
      </c>
      <c r="L232" s="246" t="e">
        <f t="shared" si="36"/>
        <v>#REF!</v>
      </c>
      <c r="M232" s="110"/>
      <c r="N232" s="110"/>
      <c r="O232" s="110"/>
      <c r="P232" s="130"/>
      <c r="Q232" s="130"/>
      <c r="R232" s="130"/>
      <c r="S232" s="130"/>
      <c r="T232" s="130"/>
    </row>
    <row r="233" spans="1:20" ht="16.5" customHeight="1" hidden="1">
      <c r="A233" s="84"/>
      <c r="B233" s="73">
        <v>4001</v>
      </c>
      <c r="C233" s="13"/>
      <c r="D233" s="14" t="s">
        <v>183</v>
      </c>
      <c r="E233" s="100" t="e">
        <f>+'fn 2004TP'!#REF!</f>
        <v>#REF!</v>
      </c>
      <c r="F233" s="110">
        <v>0</v>
      </c>
      <c r="G233" s="90" t="e">
        <f t="shared" si="34"/>
        <v>#REF!</v>
      </c>
      <c r="H233" s="110"/>
      <c r="I233" s="91"/>
      <c r="J233" s="394"/>
      <c r="K233" s="246" t="e">
        <f t="shared" si="35"/>
        <v>#REF!</v>
      </c>
      <c r="L233" s="246" t="e">
        <f t="shared" si="36"/>
        <v>#REF!</v>
      </c>
      <c r="M233" s="110"/>
      <c r="N233" s="110"/>
      <c r="O233" s="110"/>
      <c r="P233" s="130"/>
      <c r="Q233" s="130"/>
      <c r="R233" s="130"/>
      <c r="S233" s="130"/>
      <c r="T233" s="130"/>
    </row>
    <row r="234" spans="1:20" ht="16.5" customHeight="1" hidden="1">
      <c r="A234" s="84"/>
      <c r="B234" s="73">
        <v>4002</v>
      </c>
      <c r="C234" s="13"/>
      <c r="D234" s="14" t="s">
        <v>184</v>
      </c>
      <c r="E234" s="100" t="e">
        <f>+'fn 2004TP'!#REF!</f>
        <v>#REF!</v>
      </c>
      <c r="F234" s="110">
        <v>0</v>
      </c>
      <c r="G234" s="90" t="e">
        <f t="shared" si="34"/>
        <v>#REF!</v>
      </c>
      <c r="H234" s="110"/>
      <c r="I234" s="91"/>
      <c r="J234" s="394"/>
      <c r="K234" s="246" t="e">
        <f t="shared" si="35"/>
        <v>#REF!</v>
      </c>
      <c r="L234" s="246" t="e">
        <f t="shared" si="36"/>
        <v>#REF!</v>
      </c>
      <c r="M234" s="110"/>
      <c r="N234" s="110"/>
      <c r="O234" s="110"/>
      <c r="P234" s="130"/>
      <c r="Q234" s="130"/>
      <c r="R234" s="130"/>
      <c r="S234" s="130"/>
      <c r="T234" s="130"/>
    </row>
    <row r="235" spans="1:20" ht="16.5" customHeight="1" hidden="1">
      <c r="A235" s="84"/>
      <c r="B235" s="73">
        <v>4003</v>
      </c>
      <c r="C235" s="13"/>
      <c r="D235" s="14" t="s">
        <v>185</v>
      </c>
      <c r="E235" s="100" t="e">
        <f>+'fn 2004TP'!#REF!</f>
        <v>#REF!</v>
      </c>
      <c r="F235" s="110">
        <v>0</v>
      </c>
      <c r="G235" s="90" t="e">
        <f t="shared" si="34"/>
        <v>#REF!</v>
      </c>
      <c r="H235" s="110"/>
      <c r="I235" s="91"/>
      <c r="J235" s="394"/>
      <c r="K235" s="246" t="e">
        <f t="shared" si="35"/>
        <v>#REF!</v>
      </c>
      <c r="L235" s="246" t="e">
        <f t="shared" si="36"/>
        <v>#REF!</v>
      </c>
      <c r="M235" s="110"/>
      <c r="N235" s="110"/>
      <c r="O235" s="110"/>
      <c r="P235" s="130"/>
      <c r="Q235" s="130"/>
      <c r="R235" s="130"/>
      <c r="S235" s="130"/>
      <c r="T235" s="130"/>
    </row>
    <row r="236" spans="1:20" ht="16.5" customHeight="1" hidden="1">
      <c r="A236" s="84"/>
      <c r="B236" s="73">
        <v>4004</v>
      </c>
      <c r="C236" s="13"/>
      <c r="D236" s="14" t="s">
        <v>186</v>
      </c>
      <c r="E236" s="100" t="e">
        <f>+'fn 2004TP'!#REF!</f>
        <v>#REF!</v>
      </c>
      <c r="F236" s="110">
        <v>0</v>
      </c>
      <c r="G236" s="90" t="e">
        <f t="shared" si="34"/>
        <v>#REF!</v>
      </c>
      <c r="H236" s="110"/>
      <c r="I236" s="91"/>
      <c r="J236" s="394"/>
      <c r="K236" s="246" t="e">
        <f t="shared" si="35"/>
        <v>#REF!</v>
      </c>
      <c r="L236" s="246" t="e">
        <f t="shared" si="36"/>
        <v>#REF!</v>
      </c>
      <c r="M236" s="110"/>
      <c r="N236" s="110"/>
      <c r="O236" s="110"/>
      <c r="P236" s="130"/>
      <c r="Q236" s="130"/>
      <c r="R236" s="130"/>
      <c r="S236" s="130"/>
      <c r="T236" s="130"/>
    </row>
    <row r="237" spans="1:20" ht="16.5" customHeight="1" hidden="1">
      <c r="A237" s="84"/>
      <c r="B237" s="73">
        <v>4005</v>
      </c>
      <c r="C237" s="13"/>
      <c r="D237" s="14" t="s">
        <v>187</v>
      </c>
      <c r="E237" s="100" t="e">
        <f>+'fn 2004TP'!#REF!</f>
        <v>#REF!</v>
      </c>
      <c r="F237" s="110">
        <v>0</v>
      </c>
      <c r="G237" s="90" t="e">
        <f t="shared" si="34"/>
        <v>#REF!</v>
      </c>
      <c r="H237" s="110"/>
      <c r="I237" s="91"/>
      <c r="J237" s="394"/>
      <c r="K237" s="246" t="e">
        <f t="shared" si="35"/>
        <v>#REF!</v>
      </c>
      <c r="L237" s="246" t="e">
        <f t="shared" si="36"/>
        <v>#REF!</v>
      </c>
      <c r="M237" s="110"/>
      <c r="N237" s="110"/>
      <c r="O237" s="110"/>
      <c r="P237" s="130"/>
      <c r="Q237" s="130"/>
      <c r="R237" s="130"/>
      <c r="S237" s="130"/>
      <c r="T237" s="130"/>
    </row>
    <row r="238" spans="1:20" ht="16.5" customHeight="1" hidden="1">
      <c r="A238" s="84"/>
      <c r="B238" s="73">
        <v>4009</v>
      </c>
      <c r="C238" s="13"/>
      <c r="D238" s="14" t="s">
        <v>188</v>
      </c>
      <c r="E238" s="100" t="e">
        <f>+'fn 2004TP'!#REF!</f>
        <v>#REF!</v>
      </c>
      <c r="F238" s="110">
        <v>0</v>
      </c>
      <c r="G238" s="90" t="e">
        <f t="shared" si="34"/>
        <v>#REF!</v>
      </c>
      <c r="H238" s="110"/>
      <c r="I238" s="91"/>
      <c r="J238" s="394"/>
      <c r="K238" s="246" t="e">
        <f t="shared" si="35"/>
        <v>#REF!</v>
      </c>
      <c r="L238" s="246" t="e">
        <f t="shared" si="36"/>
        <v>#REF!</v>
      </c>
      <c r="M238" s="110"/>
      <c r="N238" s="110"/>
      <c r="O238" s="110"/>
      <c r="P238" s="130"/>
      <c r="Q238" s="130"/>
      <c r="R238" s="130"/>
      <c r="S238" s="130"/>
      <c r="T238" s="130"/>
    </row>
    <row r="239" spans="1:20" ht="16.5" customHeight="1">
      <c r="A239" s="84"/>
      <c r="B239" s="73"/>
      <c r="C239" s="13"/>
      <c r="D239" s="14" t="s">
        <v>189</v>
      </c>
      <c r="E239" s="100"/>
      <c r="F239" s="110"/>
      <c r="G239" s="90"/>
      <c r="H239" s="110"/>
      <c r="I239" s="91"/>
      <c r="J239" s="443">
        <v>3653954</v>
      </c>
      <c r="K239" s="246"/>
      <c r="L239" s="246"/>
      <c r="M239" s="442">
        <v>3768323</v>
      </c>
      <c r="N239" s="90">
        <f aca="true" t="shared" si="37" ref="N239:N245">+M239/J239*100</f>
        <v>103.13000656275366</v>
      </c>
      <c r="O239" s="90">
        <f aca="true" t="shared" si="38" ref="O239:O245">+N239/O$26*100-100</f>
        <v>-1.6873150021414034</v>
      </c>
      <c r="P239" s="130"/>
      <c r="Q239" s="130"/>
      <c r="R239" s="130"/>
      <c r="S239" s="130"/>
      <c r="T239" s="130"/>
    </row>
    <row r="240" spans="1:20" ht="16.5" customHeight="1">
      <c r="A240" s="84"/>
      <c r="B240" s="73"/>
      <c r="C240" s="13"/>
      <c r="D240" s="14" t="s">
        <v>190</v>
      </c>
      <c r="E240" s="100"/>
      <c r="F240" s="110"/>
      <c r="G240" s="90"/>
      <c r="H240" s="110"/>
      <c r="I240" s="91"/>
      <c r="J240" s="443">
        <v>127816</v>
      </c>
      <c r="K240" s="246"/>
      <c r="L240" s="246"/>
      <c r="M240" s="442">
        <v>134079</v>
      </c>
      <c r="N240" s="90">
        <f t="shared" si="37"/>
        <v>104.90001251799461</v>
      </c>
      <c r="O240" s="90">
        <f t="shared" si="38"/>
        <v>1.1933264644881092E-05</v>
      </c>
      <c r="P240" s="130"/>
      <c r="Q240" s="130"/>
      <c r="R240" s="130"/>
      <c r="S240" s="130"/>
      <c r="T240" s="130"/>
    </row>
    <row r="241" spans="1:20" ht="16.5" customHeight="1">
      <c r="A241" s="84"/>
      <c r="B241" s="73"/>
      <c r="C241" s="13"/>
      <c r="D241" s="14" t="s">
        <v>191</v>
      </c>
      <c r="E241" s="100"/>
      <c r="F241" s="110"/>
      <c r="G241" s="90"/>
      <c r="H241" s="110"/>
      <c r="I241" s="91"/>
      <c r="J241" s="443">
        <v>302007</v>
      </c>
      <c r="K241" s="246"/>
      <c r="L241" s="246"/>
      <c r="M241" s="442">
        <v>316806</v>
      </c>
      <c r="N241" s="90">
        <f t="shared" si="37"/>
        <v>104.90021754462644</v>
      </c>
      <c r="O241" s="90">
        <f t="shared" si="38"/>
        <v>0.0002073828660087429</v>
      </c>
      <c r="P241" s="130"/>
      <c r="Q241" s="130"/>
      <c r="R241" s="130"/>
      <c r="S241" s="130"/>
      <c r="T241" s="130"/>
    </row>
    <row r="242" spans="1:20" ht="16.5" customHeight="1">
      <c r="A242" s="84"/>
      <c r="B242" s="73"/>
      <c r="C242" s="13"/>
      <c r="D242" s="14" t="s">
        <v>192</v>
      </c>
      <c r="E242" s="100"/>
      <c r="F242" s="110"/>
      <c r="G242" s="90"/>
      <c r="H242" s="110"/>
      <c r="I242" s="91"/>
      <c r="J242" s="443">
        <v>72654</v>
      </c>
      <c r="K242" s="246"/>
      <c r="L242" s="246"/>
      <c r="M242" s="442">
        <v>74928</v>
      </c>
      <c r="N242" s="90">
        <f t="shared" si="37"/>
        <v>103.12990337765298</v>
      </c>
      <c r="O242" s="90">
        <f t="shared" si="38"/>
        <v>-1.6874133673470197</v>
      </c>
      <c r="P242" s="130"/>
      <c r="Q242" s="130"/>
      <c r="R242" s="130"/>
      <c r="S242" s="130"/>
      <c r="T242" s="130"/>
    </row>
    <row r="243" spans="1:20" ht="15">
      <c r="A243" s="84"/>
      <c r="B243" s="73"/>
      <c r="C243" s="13"/>
      <c r="D243" s="14" t="s">
        <v>193</v>
      </c>
      <c r="E243" s="100"/>
      <c r="F243" s="66"/>
      <c r="G243" s="90"/>
      <c r="H243" s="66"/>
      <c r="I243" s="328"/>
      <c r="J243" s="376">
        <v>5751</v>
      </c>
      <c r="K243" s="246"/>
      <c r="L243" s="246"/>
      <c r="M243" s="436">
        <v>5931</v>
      </c>
      <c r="N243" s="90">
        <f t="shared" si="37"/>
        <v>103.12989045383412</v>
      </c>
      <c r="O243" s="90">
        <f t="shared" si="38"/>
        <v>-1.68742568747939</v>
      </c>
      <c r="P243" s="130"/>
      <c r="Q243" s="130"/>
      <c r="R243" s="130"/>
      <c r="S243" s="130"/>
      <c r="T243" s="130"/>
    </row>
    <row r="244" spans="1:20" ht="15">
      <c r="A244" s="84"/>
      <c r="B244" s="73"/>
      <c r="C244" s="13"/>
      <c r="D244" s="14" t="s">
        <v>194</v>
      </c>
      <c r="E244" s="100"/>
      <c r="F244" s="66"/>
      <c r="G244" s="90"/>
      <c r="H244" s="66"/>
      <c r="I244" s="328"/>
      <c r="J244" s="376">
        <v>315</v>
      </c>
      <c r="K244" s="246"/>
      <c r="L244" s="246"/>
      <c r="M244" s="436">
        <v>319</v>
      </c>
      <c r="N244" s="90">
        <f t="shared" si="37"/>
        <v>101.26984126984127</v>
      </c>
      <c r="O244" s="90">
        <f t="shared" si="38"/>
        <v>-3.4605898285593355</v>
      </c>
      <c r="P244" s="130"/>
      <c r="Q244" s="130"/>
      <c r="R244" s="130"/>
      <c r="S244" s="130"/>
      <c r="T244" s="130"/>
    </row>
    <row r="245" spans="1:20" ht="15">
      <c r="A245" s="84"/>
      <c r="B245" s="73"/>
      <c r="C245" s="13"/>
      <c r="D245" s="14" t="s">
        <v>195</v>
      </c>
      <c r="E245" s="100"/>
      <c r="F245" s="66"/>
      <c r="G245" s="90"/>
      <c r="H245" s="66"/>
      <c r="I245" s="328"/>
      <c r="J245" s="376">
        <v>26630</v>
      </c>
      <c r="K245" s="246"/>
      <c r="L245" s="246"/>
      <c r="M245" s="66">
        <v>42599</v>
      </c>
      <c r="N245" s="90">
        <f t="shared" si="37"/>
        <v>159.96620352985354</v>
      </c>
      <c r="O245" s="90">
        <f t="shared" si="38"/>
        <v>52.49399764523693</v>
      </c>
      <c r="P245" s="130"/>
      <c r="Q245" s="130"/>
      <c r="R245" s="130"/>
      <c r="S245" s="130"/>
      <c r="T245" s="130"/>
    </row>
    <row r="246" spans="1:20" ht="15">
      <c r="A246" s="84"/>
      <c r="B246" s="73"/>
      <c r="C246" s="13"/>
      <c r="D246" s="14"/>
      <c r="E246" s="100"/>
      <c r="F246" s="66"/>
      <c r="G246" s="90"/>
      <c r="H246" s="66"/>
      <c r="I246" s="328"/>
      <c r="J246" s="376"/>
      <c r="K246" s="246"/>
      <c r="L246" s="246"/>
      <c r="M246" s="436"/>
      <c r="N246" s="90"/>
      <c r="O246" s="66"/>
      <c r="P246" s="130"/>
      <c r="Q246" s="130"/>
      <c r="R246" s="130"/>
      <c r="S246" s="130"/>
      <c r="T246" s="130"/>
    </row>
    <row r="247" spans="1:20" ht="15.75">
      <c r="A247" s="84"/>
      <c r="B247" s="72">
        <v>401</v>
      </c>
      <c r="C247" s="8"/>
      <c r="D247" s="9" t="s">
        <v>196</v>
      </c>
      <c r="E247" s="101">
        <f>+E248+E249+E250+E251</f>
        <v>543459</v>
      </c>
      <c r="F247" s="101">
        <f>+F248+F249+F250+F251</f>
        <v>573970.9999999999</v>
      </c>
      <c r="G247" s="90">
        <f>+F247/E247*100</f>
        <v>105.61440697458315</v>
      </c>
      <c r="H247" s="90">
        <f>+G247/H$26*100-100</f>
        <v>-0.7383393096023099</v>
      </c>
      <c r="I247" s="101">
        <v>602230</v>
      </c>
      <c r="J247" s="355">
        <f>+J248+J249+J250+J251</f>
        <v>598103.72</v>
      </c>
      <c r="K247" s="246">
        <f>+J247/E247*100</f>
        <v>110.05498482866231</v>
      </c>
      <c r="L247" s="246">
        <f>+K247/$L$26*100-100</f>
        <v>4.021724790796142</v>
      </c>
      <c r="M247" s="101">
        <f>+M248+M249+M250+M251+M252</f>
        <v>734029.0000000001</v>
      </c>
      <c r="N247" s="90">
        <f aca="true" t="shared" si="39" ref="N247:N252">+M247/J247*100</f>
        <v>122.72603821959176</v>
      </c>
      <c r="O247" s="90">
        <f aca="true" t="shared" si="40" ref="O247:O252">+N247/O$26*100-100</f>
        <v>16.993363412384895</v>
      </c>
      <c r="P247" s="130"/>
      <c r="Q247" s="130"/>
      <c r="R247" s="130"/>
      <c r="S247" s="130"/>
      <c r="T247" s="130"/>
    </row>
    <row r="248" spans="1:20" ht="15">
      <c r="A248" s="84"/>
      <c r="B248" s="73">
        <v>4010</v>
      </c>
      <c r="C248" s="13"/>
      <c r="D248" s="14" t="s">
        <v>197</v>
      </c>
      <c r="E248" s="100">
        <v>298738</v>
      </c>
      <c r="F248" s="66">
        <v>319472.2586</v>
      </c>
      <c r="G248" s="90">
        <f>+F248/E248*100</f>
        <v>106.94061639295971</v>
      </c>
      <c r="H248" s="90">
        <f>+G248/H$26*100-100</f>
        <v>0.5080981136839284</v>
      </c>
      <c r="I248" s="66">
        <v>335201.218</v>
      </c>
      <c r="J248" s="376">
        <f>+'[2]REALJAN-JUN,PROJ  (2)'!AR250</f>
        <v>329088.92000000004</v>
      </c>
      <c r="K248" s="246">
        <f>+J248/E248*100</f>
        <v>110.15971185453475</v>
      </c>
      <c r="L248" s="246">
        <f>+K248/$L$26*100-100</f>
        <v>4.120710637556485</v>
      </c>
      <c r="M248" s="66">
        <f>619719*0.5566</f>
        <v>344935.5954</v>
      </c>
      <c r="N248" s="90">
        <f t="shared" si="39"/>
        <v>104.81531720970732</v>
      </c>
      <c r="O248" s="90">
        <f t="shared" si="40"/>
        <v>-0.0807271594782577</v>
      </c>
      <c r="P248" s="130"/>
      <c r="Q248" s="130"/>
      <c r="R248" s="130"/>
      <c r="S248" s="130"/>
      <c r="T248" s="130"/>
    </row>
    <row r="249" spans="1:20" ht="15">
      <c r="A249" s="84"/>
      <c r="B249" s="73">
        <v>4011</v>
      </c>
      <c r="C249" s="13"/>
      <c r="D249" s="14" t="s">
        <v>198</v>
      </c>
      <c r="E249" s="100">
        <v>239321</v>
      </c>
      <c r="F249" s="66">
        <v>248701.6343</v>
      </c>
      <c r="G249" s="90">
        <f>+F249/E249*100</f>
        <v>103.91968707301073</v>
      </c>
      <c r="H249" s="90">
        <f>+G249/H$26*100-100</f>
        <v>-2.331121171982403</v>
      </c>
      <c r="I249" s="66">
        <v>260946.25900000002</v>
      </c>
      <c r="J249" s="376">
        <f>+'[2]REALJAN-JUN,PROJ  (2)'!AR251</f>
        <v>263209.56</v>
      </c>
      <c r="K249" s="246">
        <f>+J249/E249*100</f>
        <v>109.9818068619135</v>
      </c>
      <c r="L249" s="246">
        <f>+K249/$L$26*100-100</f>
        <v>3.9525584706176886</v>
      </c>
      <c r="M249" s="66">
        <f>619719*0.4333</f>
        <v>268524.2427</v>
      </c>
      <c r="N249" s="90">
        <f t="shared" si="39"/>
        <v>102.01918300383923</v>
      </c>
      <c r="O249" s="90">
        <f t="shared" si="40"/>
        <v>-2.746250711306743</v>
      </c>
      <c r="P249" s="130"/>
      <c r="Q249" s="130"/>
      <c r="R249" s="130"/>
      <c r="S249" s="130"/>
      <c r="T249" s="130"/>
    </row>
    <row r="250" spans="1:20" ht="15">
      <c r="A250" s="84"/>
      <c r="B250" s="73">
        <v>4012</v>
      </c>
      <c r="C250" s="13"/>
      <c r="D250" s="14" t="s">
        <v>199</v>
      </c>
      <c r="E250" s="100">
        <v>2025</v>
      </c>
      <c r="F250" s="66">
        <v>2181.0898</v>
      </c>
      <c r="G250" s="90">
        <f>+F250/E250*100</f>
        <v>107.70813827160495</v>
      </c>
      <c r="H250" s="90">
        <f>+G250/H$26*100-100</f>
        <v>1.2294532627866062</v>
      </c>
      <c r="I250" s="66">
        <v>2288.474</v>
      </c>
      <c r="J250" s="376">
        <f>+'[2]REALJAN-JUN,PROJ  (2)'!AR252</f>
        <v>2191.36</v>
      </c>
      <c r="K250" s="246">
        <f>+J250/E250*100</f>
        <v>108.2153086419753</v>
      </c>
      <c r="L250" s="246">
        <f>+K250/$L$26*100-100</f>
        <v>2.282900417746035</v>
      </c>
      <c r="M250" s="66">
        <f>619719*0.0038</f>
        <v>2354.9322</v>
      </c>
      <c r="N250" s="90">
        <f t="shared" si="39"/>
        <v>107.4644147926402</v>
      </c>
      <c r="O250" s="90">
        <f t="shared" si="40"/>
        <v>2.4446280196760597</v>
      </c>
      <c r="P250" s="130"/>
      <c r="Q250" s="130"/>
      <c r="R250" s="130"/>
      <c r="S250" s="130"/>
      <c r="T250" s="130"/>
    </row>
    <row r="251" spans="1:20" ht="15.75" thickBot="1">
      <c r="A251" s="84"/>
      <c r="B251" s="73">
        <v>4013</v>
      </c>
      <c r="C251" s="13"/>
      <c r="D251" s="14" t="s">
        <v>200</v>
      </c>
      <c r="E251" s="100">
        <f>3375</f>
        <v>3375</v>
      </c>
      <c r="F251" s="66">
        <v>3616.0173</v>
      </c>
      <c r="G251" s="90">
        <f>+F251/E251*100</f>
        <v>107.14125333333332</v>
      </c>
      <c r="H251" s="90">
        <f>+G251/H$26*100-100</f>
        <v>0.6966666666666583</v>
      </c>
      <c r="I251" s="66">
        <v>3794.049</v>
      </c>
      <c r="J251" s="376">
        <f>+'[2]REALJAN-JUN,PROJ  (2)'!AR253</f>
        <v>3613.88</v>
      </c>
      <c r="K251" s="246">
        <f>+J251/E251*100</f>
        <v>107.07792592592594</v>
      </c>
      <c r="L251" s="246">
        <f>+K251/$L$26*100-100</f>
        <v>1.2078694952041076</v>
      </c>
      <c r="M251" s="415">
        <f>619719*0.0063</f>
        <v>3904.2297</v>
      </c>
      <c r="N251" s="90">
        <f t="shared" si="39"/>
        <v>108.03429278227279</v>
      </c>
      <c r="O251" s="90">
        <f t="shared" si="40"/>
        <v>2.9878863510703297</v>
      </c>
      <c r="P251" s="130"/>
      <c r="Q251" s="130"/>
      <c r="R251" s="130"/>
      <c r="S251" s="130"/>
      <c r="T251" s="130"/>
    </row>
    <row r="252" spans="1:20" ht="16.5" thickBot="1">
      <c r="A252" s="84"/>
      <c r="B252" s="73">
        <v>4015</v>
      </c>
      <c r="C252" s="13"/>
      <c r="D252" s="412" t="s">
        <v>201</v>
      </c>
      <c r="E252" s="100"/>
      <c r="F252" s="66"/>
      <c r="G252" s="90"/>
      <c r="H252" s="90"/>
      <c r="I252" s="66"/>
      <c r="J252" s="376"/>
      <c r="K252" s="246"/>
      <c r="L252" s="413"/>
      <c r="M252" s="416">
        <v>114310</v>
      </c>
      <c r="N252" s="414" t="e">
        <f t="shared" si="39"/>
        <v>#DIV/0!</v>
      </c>
      <c r="O252" s="90" t="e">
        <f t="shared" si="40"/>
        <v>#DIV/0!</v>
      </c>
      <c r="P252" s="130"/>
      <c r="Q252" s="130"/>
      <c r="R252" s="130"/>
      <c r="S252" s="130"/>
      <c r="T252" s="130"/>
    </row>
    <row r="253" spans="1:20" ht="15">
      <c r="A253" s="84"/>
      <c r="B253" s="73"/>
      <c r="C253" s="13"/>
      <c r="D253" s="358"/>
      <c r="E253" s="100"/>
      <c r="F253" s="66"/>
      <c r="G253" s="90"/>
      <c r="H253" s="66"/>
      <c r="I253" s="361">
        <f>+J254-J253</f>
        <v>4584023.25</v>
      </c>
      <c r="J253" s="395"/>
      <c r="K253" s="246"/>
      <c r="L253" s="246"/>
      <c r="M253" s="409"/>
      <c r="N253" s="66"/>
      <c r="O253" s="66"/>
      <c r="P253" s="130"/>
      <c r="Q253" s="130"/>
      <c r="R253" s="130"/>
      <c r="S253" s="130"/>
      <c r="T253" s="130"/>
    </row>
    <row r="254" spans="1:20" ht="15.75">
      <c r="A254" s="84"/>
      <c r="B254" s="72">
        <v>402</v>
      </c>
      <c r="C254" s="8"/>
      <c r="D254" s="9" t="s">
        <v>202</v>
      </c>
      <c r="E254" s="109">
        <f>SUM(E269:E280)</f>
        <v>4631066.40085999</v>
      </c>
      <c r="F254" s="109">
        <v>5301227</v>
      </c>
      <c r="G254" s="90">
        <f aca="true" t="shared" si="41" ref="G254:G269">+F254/E254*100</f>
        <v>114.47097798069923</v>
      </c>
      <c r="H254" s="90">
        <f>+G254/H$26*100-100</f>
        <v>7.5855056209579175</v>
      </c>
      <c r="I254" s="109">
        <f>SUM(I269:I280)</f>
        <v>5655312.945073744</v>
      </c>
      <c r="J254" s="355">
        <f>+'[2]REALJAN-JUN,PROJ  (2)'!AR255</f>
        <v>4584023.25</v>
      </c>
      <c r="K254" s="246">
        <f aca="true" t="shared" si="42" ref="K254:K269">+J254/E254*100</f>
        <v>98.98418319263887</v>
      </c>
      <c r="L254" s="246">
        <f aca="true" t="shared" si="43" ref="L254:L269">+K254/$L$26*100-100</f>
        <v>-6.4421708954264005</v>
      </c>
      <c r="M254" s="101">
        <v>4839295</v>
      </c>
      <c r="N254" s="90">
        <f>+M254/J254*100</f>
        <v>105.5687272092261</v>
      </c>
      <c r="O254" s="90">
        <f>+N254/O$26*100-100</f>
        <v>0.6374901899200154</v>
      </c>
      <c r="P254" s="130"/>
      <c r="Q254" s="130"/>
      <c r="R254" s="130"/>
      <c r="S254" s="130"/>
      <c r="T254" s="130"/>
    </row>
    <row r="255" spans="1:20" ht="16.5" customHeight="1" hidden="1">
      <c r="A255" s="84"/>
      <c r="B255" s="72"/>
      <c r="C255" s="8"/>
      <c r="D255" s="14" t="s">
        <v>203</v>
      </c>
      <c r="E255" s="100" t="e">
        <f>+'fn 2004TP'!#REF!</f>
        <v>#REF!</v>
      </c>
      <c r="F255" s="66">
        <v>0</v>
      </c>
      <c r="G255" s="90" t="e">
        <f t="shared" si="41"/>
        <v>#REF!</v>
      </c>
      <c r="H255" s="66"/>
      <c r="I255" s="91"/>
      <c r="J255" s="66"/>
      <c r="K255" s="246" t="e">
        <f t="shared" si="42"/>
        <v>#REF!</v>
      </c>
      <c r="L255" s="246" t="e">
        <f t="shared" si="43"/>
        <v>#REF!</v>
      </c>
      <c r="M255" s="66"/>
      <c r="N255" s="66"/>
      <c r="O255" s="66"/>
      <c r="P255" s="130"/>
      <c r="Q255" s="130"/>
      <c r="R255" s="130"/>
      <c r="S255" s="130"/>
      <c r="T255" s="130"/>
    </row>
    <row r="256" spans="1:20" ht="14.25" customHeight="1" hidden="1">
      <c r="A256" s="84"/>
      <c r="B256" s="73">
        <v>4020</v>
      </c>
      <c r="C256" s="13"/>
      <c r="D256" s="14" t="s">
        <v>204</v>
      </c>
      <c r="E256" s="100" t="e">
        <f>+'fn 2004TP'!#REF!</f>
        <v>#REF!</v>
      </c>
      <c r="F256" s="66">
        <v>0</v>
      </c>
      <c r="G256" s="90" t="e">
        <f t="shared" si="41"/>
        <v>#REF!</v>
      </c>
      <c r="H256" s="66"/>
      <c r="I256" s="91"/>
      <c r="J256" s="66"/>
      <c r="K256" s="246" t="e">
        <f t="shared" si="42"/>
        <v>#REF!</v>
      </c>
      <c r="L256" s="246" t="e">
        <f t="shared" si="43"/>
        <v>#REF!</v>
      </c>
      <c r="M256" s="66"/>
      <c r="N256" s="66"/>
      <c r="O256" s="66"/>
      <c r="P256" s="130"/>
      <c r="Q256" s="130"/>
      <c r="R256" s="130"/>
      <c r="S256" s="130"/>
      <c r="T256" s="130"/>
    </row>
    <row r="257" spans="1:20" ht="16.5" customHeight="1" hidden="1">
      <c r="A257" s="84"/>
      <c r="B257" s="73">
        <v>4021</v>
      </c>
      <c r="C257" s="13"/>
      <c r="D257" s="14" t="s">
        <v>205</v>
      </c>
      <c r="E257" s="100" t="e">
        <f>+'fn 2004TP'!#REF!</f>
        <v>#REF!</v>
      </c>
      <c r="F257" s="66">
        <v>0</v>
      </c>
      <c r="G257" s="90" t="e">
        <f t="shared" si="41"/>
        <v>#REF!</v>
      </c>
      <c r="H257" s="66"/>
      <c r="I257" s="91"/>
      <c r="J257" s="66"/>
      <c r="K257" s="246" t="e">
        <f t="shared" si="42"/>
        <v>#REF!</v>
      </c>
      <c r="L257" s="246" t="e">
        <f t="shared" si="43"/>
        <v>#REF!</v>
      </c>
      <c r="M257" s="66"/>
      <c r="N257" s="66"/>
      <c r="O257" s="66"/>
      <c r="P257" s="130"/>
      <c r="Q257" s="130"/>
      <c r="R257" s="130"/>
      <c r="S257" s="130"/>
      <c r="T257" s="130"/>
    </row>
    <row r="258" spans="1:20" ht="16.5" customHeight="1" hidden="1">
      <c r="A258" s="84"/>
      <c r="B258" s="73">
        <v>4022</v>
      </c>
      <c r="C258" s="13"/>
      <c r="D258" s="14" t="s">
        <v>206</v>
      </c>
      <c r="E258" s="100" t="e">
        <f>+'fn 2004TP'!#REF!</f>
        <v>#REF!</v>
      </c>
      <c r="F258" s="66">
        <v>0</v>
      </c>
      <c r="G258" s="90" t="e">
        <f t="shared" si="41"/>
        <v>#REF!</v>
      </c>
      <c r="H258" s="66"/>
      <c r="I258" s="91"/>
      <c r="J258" s="66"/>
      <c r="K258" s="246" t="e">
        <f t="shared" si="42"/>
        <v>#REF!</v>
      </c>
      <c r="L258" s="246" t="e">
        <f t="shared" si="43"/>
        <v>#REF!</v>
      </c>
      <c r="M258" s="66"/>
      <c r="N258" s="66"/>
      <c r="O258" s="66"/>
      <c r="P258" s="130"/>
      <c r="Q258" s="130"/>
      <c r="R258" s="130"/>
      <c r="S258" s="130"/>
      <c r="T258" s="130"/>
    </row>
    <row r="259" spans="1:20" ht="16.5" customHeight="1" hidden="1">
      <c r="A259" s="84"/>
      <c r="B259" s="73">
        <v>4023</v>
      </c>
      <c r="C259" s="13"/>
      <c r="D259" s="14" t="s">
        <v>207</v>
      </c>
      <c r="E259" s="100" t="e">
        <f>+'fn 2004TP'!#REF!</f>
        <v>#REF!</v>
      </c>
      <c r="F259" s="66">
        <v>0</v>
      </c>
      <c r="G259" s="90" t="e">
        <f t="shared" si="41"/>
        <v>#REF!</v>
      </c>
      <c r="H259" s="66"/>
      <c r="I259" s="91"/>
      <c r="J259" s="66"/>
      <c r="K259" s="246" t="e">
        <f t="shared" si="42"/>
        <v>#REF!</v>
      </c>
      <c r="L259" s="246" t="e">
        <f t="shared" si="43"/>
        <v>#REF!</v>
      </c>
      <c r="M259" s="66"/>
      <c r="N259" s="66"/>
      <c r="O259" s="66"/>
      <c r="P259" s="130"/>
      <c r="Q259" s="130"/>
      <c r="R259" s="130"/>
      <c r="S259" s="130"/>
      <c r="T259" s="130"/>
    </row>
    <row r="260" spans="1:20" ht="16.5" customHeight="1" hidden="1">
      <c r="A260" s="84"/>
      <c r="B260" s="73">
        <v>4024</v>
      </c>
      <c r="C260" s="13"/>
      <c r="D260" s="14" t="s">
        <v>208</v>
      </c>
      <c r="E260" s="100" t="e">
        <f>+'fn 2004TP'!#REF!</f>
        <v>#REF!</v>
      </c>
      <c r="F260" s="66">
        <v>0</v>
      </c>
      <c r="G260" s="90" t="e">
        <f t="shared" si="41"/>
        <v>#REF!</v>
      </c>
      <c r="H260" s="66"/>
      <c r="I260" s="91"/>
      <c r="J260" s="66"/>
      <c r="K260" s="246" t="e">
        <f t="shared" si="42"/>
        <v>#REF!</v>
      </c>
      <c r="L260" s="246" t="e">
        <f t="shared" si="43"/>
        <v>#REF!</v>
      </c>
      <c r="M260" s="66"/>
      <c r="N260" s="66"/>
      <c r="O260" s="66"/>
      <c r="P260" s="130"/>
      <c r="Q260" s="130"/>
      <c r="R260" s="130"/>
      <c r="S260" s="130"/>
      <c r="T260" s="130"/>
    </row>
    <row r="261" spans="1:20" ht="16.5" customHeight="1" hidden="1">
      <c r="A261" s="84"/>
      <c r="B261" s="73">
        <v>4025</v>
      </c>
      <c r="C261" s="13"/>
      <c r="D261" s="14" t="s">
        <v>209</v>
      </c>
      <c r="E261" s="100" t="e">
        <f>+'fn 2004TP'!#REF!</f>
        <v>#REF!</v>
      </c>
      <c r="F261" s="66">
        <v>0</v>
      </c>
      <c r="G261" s="90" t="e">
        <f t="shared" si="41"/>
        <v>#REF!</v>
      </c>
      <c r="H261" s="66"/>
      <c r="I261" s="91"/>
      <c r="J261" s="66"/>
      <c r="K261" s="246" t="e">
        <f t="shared" si="42"/>
        <v>#REF!</v>
      </c>
      <c r="L261" s="246" t="e">
        <f t="shared" si="43"/>
        <v>#REF!</v>
      </c>
      <c r="M261" s="66"/>
      <c r="N261" s="66"/>
      <c r="O261" s="66"/>
      <c r="P261" s="130"/>
      <c r="Q261" s="130"/>
      <c r="R261" s="130"/>
      <c r="S261" s="130"/>
      <c r="T261" s="130"/>
    </row>
    <row r="262" spans="1:20" ht="16.5" customHeight="1" hidden="1">
      <c r="A262" s="84"/>
      <c r="B262" s="73">
        <v>4026</v>
      </c>
      <c r="C262" s="13"/>
      <c r="D262" s="14" t="s">
        <v>210</v>
      </c>
      <c r="E262" s="100" t="e">
        <f>+'fn 2004TP'!#REF!</f>
        <v>#REF!</v>
      </c>
      <c r="F262" s="66">
        <v>0</v>
      </c>
      <c r="G262" s="90" t="e">
        <f t="shared" si="41"/>
        <v>#REF!</v>
      </c>
      <c r="H262" s="66"/>
      <c r="I262" s="91"/>
      <c r="J262" s="66"/>
      <c r="K262" s="246" t="e">
        <f t="shared" si="42"/>
        <v>#REF!</v>
      </c>
      <c r="L262" s="246" t="e">
        <f t="shared" si="43"/>
        <v>#REF!</v>
      </c>
      <c r="M262" s="66"/>
      <c r="N262" s="66"/>
      <c r="O262" s="66"/>
      <c r="P262" s="130"/>
      <c r="Q262" s="130"/>
      <c r="R262" s="130"/>
      <c r="S262" s="130"/>
      <c r="T262" s="130"/>
    </row>
    <row r="263" spans="1:20" ht="16.5" customHeight="1" hidden="1">
      <c r="A263" s="84"/>
      <c r="B263" s="73">
        <v>4027</v>
      </c>
      <c r="C263" s="13"/>
      <c r="D263" s="14" t="s">
        <v>211</v>
      </c>
      <c r="E263" s="100" t="e">
        <f>+'fn 2004TP'!#REF!</f>
        <v>#REF!</v>
      </c>
      <c r="F263" s="66">
        <v>0</v>
      </c>
      <c r="G263" s="90" t="e">
        <f t="shared" si="41"/>
        <v>#REF!</v>
      </c>
      <c r="H263" s="66"/>
      <c r="I263" s="91"/>
      <c r="J263" s="66"/>
      <c r="K263" s="246" t="e">
        <f t="shared" si="42"/>
        <v>#REF!</v>
      </c>
      <c r="L263" s="246" t="e">
        <f t="shared" si="43"/>
        <v>#REF!</v>
      </c>
      <c r="M263" s="66"/>
      <c r="N263" s="66"/>
      <c r="O263" s="66"/>
      <c r="P263" s="130"/>
      <c r="Q263" s="130"/>
      <c r="R263" s="130"/>
      <c r="S263" s="130"/>
      <c r="T263" s="130"/>
    </row>
    <row r="264" spans="1:20" ht="16.5" customHeight="1" hidden="1">
      <c r="A264" s="84"/>
      <c r="B264" s="73">
        <v>4029</v>
      </c>
      <c r="C264" s="13"/>
      <c r="D264" s="14" t="s">
        <v>212</v>
      </c>
      <c r="E264" s="100" t="e">
        <f>+'fn 2004TP'!#REF!</f>
        <v>#REF!</v>
      </c>
      <c r="F264" s="66">
        <v>0</v>
      </c>
      <c r="G264" s="90" t="e">
        <f t="shared" si="41"/>
        <v>#REF!</v>
      </c>
      <c r="H264" s="66"/>
      <c r="I264" s="91"/>
      <c r="J264" s="66"/>
      <c r="K264" s="246" t="e">
        <f t="shared" si="42"/>
        <v>#REF!</v>
      </c>
      <c r="L264" s="246" t="e">
        <f t="shared" si="43"/>
        <v>#REF!</v>
      </c>
      <c r="M264" s="66"/>
      <c r="N264" s="66"/>
      <c r="O264" s="66"/>
      <c r="P264" s="130"/>
      <c r="Q264" s="130"/>
      <c r="R264" s="130"/>
      <c r="S264" s="130"/>
      <c r="T264" s="130"/>
    </row>
    <row r="265" spans="1:20" ht="16.5" customHeight="1" hidden="1">
      <c r="A265" s="84"/>
      <c r="B265" s="73">
        <v>402930</v>
      </c>
      <c r="C265" s="13"/>
      <c r="D265" s="14" t="s">
        <v>213</v>
      </c>
      <c r="E265" s="100" t="e">
        <f>+'fn 2004TP'!#REF!</f>
        <v>#REF!</v>
      </c>
      <c r="F265" s="66">
        <v>0</v>
      </c>
      <c r="G265" s="90" t="e">
        <f t="shared" si="41"/>
        <v>#REF!</v>
      </c>
      <c r="H265" s="66"/>
      <c r="I265" s="91"/>
      <c r="J265" s="66"/>
      <c r="K265" s="246" t="e">
        <f t="shared" si="42"/>
        <v>#REF!</v>
      </c>
      <c r="L265" s="246" t="e">
        <f t="shared" si="43"/>
        <v>#REF!</v>
      </c>
      <c r="M265" s="66"/>
      <c r="N265" s="66"/>
      <c r="O265" s="66"/>
      <c r="P265" s="130"/>
      <c r="Q265" s="130"/>
      <c r="R265" s="130"/>
      <c r="S265" s="130"/>
      <c r="T265" s="130"/>
    </row>
    <row r="266" spans="1:20" ht="16.5" customHeight="1" hidden="1">
      <c r="A266" s="84"/>
      <c r="B266" s="73">
        <v>402931</v>
      </c>
      <c r="C266" s="13"/>
      <c r="D266" s="14" t="s">
        <v>214</v>
      </c>
      <c r="E266" s="100" t="e">
        <f>+'fn 2004TP'!#REF!</f>
        <v>#REF!</v>
      </c>
      <c r="F266" s="66">
        <v>0</v>
      </c>
      <c r="G266" s="90" t="e">
        <f t="shared" si="41"/>
        <v>#REF!</v>
      </c>
      <c r="H266" s="66"/>
      <c r="I266" s="91"/>
      <c r="J266" s="66"/>
      <c r="K266" s="246" t="e">
        <f t="shared" si="42"/>
        <v>#REF!</v>
      </c>
      <c r="L266" s="246" t="e">
        <f t="shared" si="43"/>
        <v>#REF!</v>
      </c>
      <c r="M266" s="66"/>
      <c r="N266" s="66"/>
      <c r="O266" s="66"/>
      <c r="P266" s="130"/>
      <c r="Q266" s="130"/>
      <c r="R266" s="130"/>
      <c r="S266" s="130"/>
      <c r="T266" s="130"/>
    </row>
    <row r="267" spans="1:20" ht="16.5" customHeight="1" hidden="1">
      <c r="A267" s="84"/>
      <c r="B267" s="73">
        <v>402934</v>
      </c>
      <c r="C267" s="13"/>
      <c r="D267" s="14" t="s">
        <v>215</v>
      </c>
      <c r="E267" s="100" t="e">
        <f>+'fn 2004TP'!#REF!</f>
        <v>#REF!</v>
      </c>
      <c r="F267" s="66">
        <v>0</v>
      </c>
      <c r="G267" s="90" t="e">
        <f t="shared" si="41"/>
        <v>#REF!</v>
      </c>
      <c r="H267" s="66"/>
      <c r="I267" s="91"/>
      <c r="J267" s="66"/>
      <c r="K267" s="246" t="e">
        <f t="shared" si="42"/>
        <v>#REF!</v>
      </c>
      <c r="L267" s="246" t="e">
        <f t="shared" si="43"/>
        <v>#REF!</v>
      </c>
      <c r="M267" s="66"/>
      <c r="N267" s="66"/>
      <c r="O267" s="66"/>
      <c r="P267" s="130"/>
      <c r="Q267" s="130"/>
      <c r="R267" s="130"/>
      <c r="S267" s="130"/>
      <c r="T267" s="130"/>
    </row>
    <row r="268" spans="1:20" ht="16.5" customHeight="1" hidden="1">
      <c r="A268" s="84"/>
      <c r="B268" s="73">
        <v>402999</v>
      </c>
      <c r="C268" s="47"/>
      <c r="D268" s="45" t="s">
        <v>212</v>
      </c>
      <c r="E268" s="100" t="e">
        <f>+'fn 2004TP'!#REF!</f>
        <v>#REF!</v>
      </c>
      <c r="F268" s="66">
        <v>0</v>
      </c>
      <c r="G268" s="90" t="e">
        <f t="shared" si="41"/>
        <v>#REF!</v>
      </c>
      <c r="H268" s="66"/>
      <c r="I268" s="91"/>
      <c r="J268" s="66"/>
      <c r="K268" s="246" t="e">
        <f t="shared" si="42"/>
        <v>#REF!</v>
      </c>
      <c r="L268" s="246" t="e">
        <f t="shared" si="43"/>
        <v>#REF!</v>
      </c>
      <c r="M268" s="66"/>
      <c r="N268" s="66"/>
      <c r="O268" s="66"/>
      <c r="P268" s="130"/>
      <c r="Q268" s="130"/>
      <c r="R268" s="130"/>
      <c r="S268" s="130"/>
      <c r="T268" s="130"/>
    </row>
    <row r="269" spans="1:20" ht="15" hidden="1">
      <c r="A269" s="84"/>
      <c r="B269" s="81">
        <v>4020</v>
      </c>
      <c r="C269" s="58"/>
      <c r="D269" s="353" t="s">
        <v>216</v>
      </c>
      <c r="E269" s="100">
        <v>454544.52034</v>
      </c>
      <c r="F269" s="66">
        <v>593363.07</v>
      </c>
      <c r="G269" s="90">
        <f t="shared" si="41"/>
        <v>130.5401436928914</v>
      </c>
      <c r="H269" s="90">
        <f>+G269/H$26*100-100</f>
        <v>22.688104974521977</v>
      </c>
      <c r="I269" s="66">
        <v>653981.8299834102</v>
      </c>
      <c r="J269" s="66">
        <f>+E269*1.055+13100</f>
        <v>492644.46895869996</v>
      </c>
      <c r="K269" s="246">
        <f t="shared" si="42"/>
        <v>108.38200592324843</v>
      </c>
      <c r="L269" s="246">
        <f t="shared" si="43"/>
        <v>2.440459284733862</v>
      </c>
      <c r="M269" s="66"/>
      <c r="N269" s="66"/>
      <c r="O269" s="66"/>
      <c r="P269" s="130"/>
      <c r="Q269" s="130"/>
      <c r="R269" s="130"/>
      <c r="S269" s="130"/>
      <c r="T269" s="130"/>
    </row>
    <row r="270" spans="1:20" ht="15" hidden="1">
      <c r="A270" s="84"/>
      <c r="B270" s="81"/>
      <c r="C270" s="58"/>
      <c r="D270" s="360" t="s">
        <v>217</v>
      </c>
      <c r="E270" s="100"/>
      <c r="F270" s="66"/>
      <c r="G270" s="90"/>
      <c r="H270" s="90"/>
      <c r="I270" s="66"/>
      <c r="J270" s="359">
        <v>13100</v>
      </c>
      <c r="K270" s="246"/>
      <c r="L270" s="246"/>
      <c r="M270" s="66"/>
      <c r="N270" s="66"/>
      <c r="O270" s="66"/>
      <c r="P270" s="130"/>
      <c r="Q270" s="130"/>
      <c r="R270" s="130"/>
      <c r="S270" s="130"/>
      <c r="T270" s="130"/>
    </row>
    <row r="271" spans="1:20" ht="15" hidden="1">
      <c r="A271" s="84"/>
      <c r="B271" s="81">
        <v>4021</v>
      </c>
      <c r="C271" s="58"/>
      <c r="D271" s="352" t="s">
        <v>218</v>
      </c>
      <c r="E271" s="100">
        <v>15898.581699999999</v>
      </c>
      <c r="F271" s="66">
        <v>6115.872</v>
      </c>
      <c r="G271" s="90">
        <f>+F271/E271*100</f>
        <v>38.468035170709605</v>
      </c>
      <c r="H271" s="90">
        <f>+G271/H$26*100-100</f>
        <v>-63.84583160647594</v>
      </c>
      <c r="I271" s="66">
        <v>114324.06978423255</v>
      </c>
      <c r="J271" s="66">
        <f>+E271*1.055</f>
        <v>16773.0036935</v>
      </c>
      <c r="K271" s="246">
        <f>+J271/E271*100</f>
        <v>105.5</v>
      </c>
      <c r="L271" s="246">
        <f>+K271/$L$26*100-100</f>
        <v>-0.2835538752362936</v>
      </c>
      <c r="M271" s="66"/>
      <c r="N271" s="66"/>
      <c r="O271" s="66"/>
      <c r="P271" s="130"/>
      <c r="Q271" s="130"/>
      <c r="R271" s="130"/>
      <c r="S271" s="130"/>
      <c r="T271" s="130"/>
    </row>
    <row r="272" spans="1:20" ht="15" hidden="1">
      <c r="A272" s="84"/>
      <c r="B272" s="81">
        <v>4022</v>
      </c>
      <c r="C272" s="58"/>
      <c r="D272" s="353" t="s">
        <v>219</v>
      </c>
      <c r="E272" s="100">
        <v>424856.84978000005</v>
      </c>
      <c r="F272" s="66"/>
      <c r="G272" s="90"/>
      <c r="H272" s="90"/>
      <c r="I272" s="66">
        <v>484760.0324034469</v>
      </c>
      <c r="J272" s="66">
        <f>+E272*1.055+210100</f>
        <v>658323.9765179</v>
      </c>
      <c r="K272" s="246">
        <f>+J272/E272*100</f>
        <v>154.95195072382478</v>
      </c>
      <c r="L272" s="246">
        <f>+K272/$L$26*100-100</f>
        <v>46.45742034387976</v>
      </c>
      <c r="M272" s="66"/>
      <c r="N272" s="66"/>
      <c r="O272" s="66"/>
      <c r="P272" s="130"/>
      <c r="Q272" s="130"/>
      <c r="R272" s="130"/>
      <c r="S272" s="130"/>
      <c r="T272" s="130"/>
    </row>
    <row r="273" spans="1:20" ht="15" hidden="1">
      <c r="A273" s="84"/>
      <c r="B273" s="81"/>
      <c r="C273" s="58"/>
      <c r="D273" s="360" t="s">
        <v>220</v>
      </c>
      <c r="E273" s="356"/>
      <c r="F273" s="327"/>
      <c r="G273" s="357"/>
      <c r="H273" s="357"/>
      <c r="I273" s="327"/>
      <c r="J273" s="359">
        <v>210100</v>
      </c>
      <c r="K273" s="246"/>
      <c r="L273" s="246"/>
      <c r="M273" s="66"/>
      <c r="N273" s="66"/>
      <c r="O273" s="66"/>
      <c r="P273" s="130"/>
      <c r="Q273" s="130"/>
      <c r="R273" s="130"/>
      <c r="S273" s="130"/>
      <c r="T273" s="130"/>
    </row>
    <row r="274" spans="1:20" ht="15" hidden="1">
      <c r="A274" s="84"/>
      <c r="B274" s="81">
        <v>4023</v>
      </c>
      <c r="C274" s="58"/>
      <c r="D274" s="64" t="s">
        <v>221</v>
      </c>
      <c r="E274" s="100">
        <v>30879.14532</v>
      </c>
      <c r="F274" s="66"/>
      <c r="G274" s="90"/>
      <c r="H274" s="90"/>
      <c r="I274" s="66">
        <v>36101.1340368792</v>
      </c>
      <c r="J274" s="66">
        <f>+E274*1.055</f>
        <v>32577.498312599997</v>
      </c>
      <c r="K274" s="246">
        <f aca="true" t="shared" si="44" ref="K274:K283">+J274/E274*100</f>
        <v>105.5</v>
      </c>
      <c r="L274" s="246">
        <f aca="true" t="shared" si="45" ref="L274:L283">+K274/$L$26*100-100</f>
        <v>-0.2835538752362936</v>
      </c>
      <c r="M274" s="66"/>
      <c r="N274" s="66"/>
      <c r="O274" s="66"/>
      <c r="P274" s="130"/>
      <c r="Q274" s="130"/>
      <c r="R274" s="130"/>
      <c r="S274" s="130"/>
      <c r="T274" s="130"/>
    </row>
    <row r="275" spans="1:20" ht="15" hidden="1">
      <c r="A275" s="84"/>
      <c r="B275" s="81">
        <v>4024</v>
      </c>
      <c r="C275" s="58"/>
      <c r="D275" s="196" t="s">
        <v>222</v>
      </c>
      <c r="E275" s="100">
        <v>65336.375199999995</v>
      </c>
      <c r="F275" s="66"/>
      <c r="G275" s="90"/>
      <c r="H275" s="90"/>
      <c r="I275" s="66">
        <v>78294.77799999999</v>
      </c>
      <c r="J275" s="66">
        <f>+E275*1.055</f>
        <v>68929.87583599999</v>
      </c>
      <c r="K275" s="246">
        <f t="shared" si="44"/>
        <v>105.5</v>
      </c>
      <c r="L275" s="246">
        <f t="shared" si="45"/>
        <v>-0.2835538752362936</v>
      </c>
      <c r="M275" s="66"/>
      <c r="N275" s="66"/>
      <c r="O275" s="66"/>
      <c r="P275" s="130"/>
      <c r="Q275" s="130"/>
      <c r="R275" s="130"/>
      <c r="S275" s="130"/>
      <c r="T275" s="130"/>
    </row>
    <row r="276" spans="1:20" ht="15" hidden="1">
      <c r="A276" s="84"/>
      <c r="B276" s="81">
        <v>4025</v>
      </c>
      <c r="C276" s="58"/>
      <c r="D276" s="352" t="s">
        <v>223</v>
      </c>
      <c r="E276" s="100">
        <v>527206.58018</v>
      </c>
      <c r="F276" s="66"/>
      <c r="G276" s="90"/>
      <c r="H276" s="90"/>
      <c r="I276" s="66">
        <v>648424.5160895356</v>
      </c>
      <c r="J276" s="66">
        <v>518675</v>
      </c>
      <c r="K276" s="246">
        <f t="shared" si="44"/>
        <v>98.38173867687934</v>
      </c>
      <c r="L276" s="246">
        <f t="shared" si="45"/>
        <v>-7.011589152287954</v>
      </c>
      <c r="M276" s="66"/>
      <c r="N276" s="66"/>
      <c r="O276" s="66"/>
      <c r="P276" s="130"/>
      <c r="Q276" s="130"/>
      <c r="R276" s="130"/>
      <c r="S276" s="130"/>
      <c r="T276" s="130"/>
    </row>
    <row r="277" spans="1:20" ht="15" hidden="1">
      <c r="A277" s="84"/>
      <c r="B277" s="81">
        <v>4026</v>
      </c>
      <c r="C277" s="58"/>
      <c r="D277" s="196" t="s">
        <v>224</v>
      </c>
      <c r="E277" s="100">
        <v>1017249.72883999</v>
      </c>
      <c r="F277" s="66"/>
      <c r="G277" s="90"/>
      <c r="H277" s="90"/>
      <c r="I277" s="66">
        <v>1256625.688672182</v>
      </c>
      <c r="J277" s="66">
        <v>933178.0212846163</v>
      </c>
      <c r="K277" s="246">
        <f t="shared" si="44"/>
        <v>91.73539150005536</v>
      </c>
      <c r="L277" s="246">
        <f t="shared" si="45"/>
        <v>-13.29358081280212</v>
      </c>
      <c r="M277" s="66"/>
      <c r="N277" s="66"/>
      <c r="O277" s="66"/>
      <c r="P277" s="130"/>
      <c r="Q277" s="130"/>
      <c r="R277" s="130"/>
      <c r="S277" s="130"/>
      <c r="T277" s="130"/>
    </row>
    <row r="278" spans="1:20" ht="15" hidden="1">
      <c r="A278" s="84"/>
      <c r="B278" s="81">
        <v>4027</v>
      </c>
      <c r="C278" s="58"/>
      <c r="D278" s="352" t="s">
        <v>225</v>
      </c>
      <c r="E278" s="100">
        <v>80</v>
      </c>
      <c r="F278" s="66"/>
      <c r="G278" s="90"/>
      <c r="H278" s="90"/>
      <c r="I278" s="66">
        <v>50</v>
      </c>
      <c r="J278" s="66">
        <v>50</v>
      </c>
      <c r="K278" s="246">
        <f t="shared" si="44"/>
        <v>62.5</v>
      </c>
      <c r="L278" s="246">
        <f t="shared" si="45"/>
        <v>-40.92627599243856</v>
      </c>
      <c r="M278" s="66"/>
      <c r="N278" s="66"/>
      <c r="O278" s="66"/>
      <c r="P278" s="130"/>
      <c r="Q278" s="130"/>
      <c r="R278" s="130"/>
      <c r="S278" s="130"/>
      <c r="T278" s="130"/>
    </row>
    <row r="279" spans="1:20" ht="15" hidden="1">
      <c r="A279" s="84"/>
      <c r="B279" s="81">
        <v>4028</v>
      </c>
      <c r="C279" s="58"/>
      <c r="D279" s="352" t="s">
        <v>226</v>
      </c>
      <c r="E279" s="100">
        <v>206275.65704999998</v>
      </c>
      <c r="F279" s="66"/>
      <c r="G279" s="90"/>
      <c r="H279" s="90"/>
      <c r="I279" s="66">
        <v>233692.28236492834</v>
      </c>
      <c r="J279" s="66">
        <f>+E279*1.09</f>
        <v>224840.4661845</v>
      </c>
      <c r="K279" s="246">
        <f t="shared" si="44"/>
        <v>109.00000000000001</v>
      </c>
      <c r="L279" s="246">
        <f t="shared" si="45"/>
        <v>3.024574669187146</v>
      </c>
      <c r="M279" s="66"/>
      <c r="N279" s="66"/>
      <c r="O279" s="66"/>
      <c r="P279" s="130"/>
      <c r="Q279" s="130"/>
      <c r="R279" s="130"/>
      <c r="S279" s="130"/>
      <c r="T279" s="130"/>
    </row>
    <row r="280" spans="1:20" ht="15" hidden="1">
      <c r="A280" s="84"/>
      <c r="B280" s="81">
        <v>4029</v>
      </c>
      <c r="C280" s="58"/>
      <c r="D280" s="353" t="s">
        <v>227</v>
      </c>
      <c r="E280" s="100">
        <v>1888738.96245</v>
      </c>
      <c r="F280" s="66"/>
      <c r="G280" s="90"/>
      <c r="H280" s="90"/>
      <c r="I280" s="66">
        <v>2149058.61373913</v>
      </c>
      <c r="J280" s="66">
        <f>824735+44688+4126-553000-36447+J281+J282+J283</f>
        <v>1508402</v>
      </c>
      <c r="K280" s="246">
        <f t="shared" si="44"/>
        <v>79.86291541544516</v>
      </c>
      <c r="L280" s="246">
        <f t="shared" si="45"/>
        <v>-24.515202820940303</v>
      </c>
      <c r="M280" s="66"/>
      <c r="N280" s="66"/>
      <c r="O280" s="66"/>
      <c r="P280" s="130"/>
      <c r="Q280" s="130"/>
      <c r="R280" s="130"/>
      <c r="S280" s="130"/>
      <c r="T280" s="130"/>
    </row>
    <row r="281" spans="1:20" ht="15" hidden="1">
      <c r="A281" s="84"/>
      <c r="B281" s="180"/>
      <c r="C281" s="60"/>
      <c r="D281" s="55" t="s">
        <v>228</v>
      </c>
      <c r="E281" s="100">
        <v>967276</v>
      </c>
      <c r="F281" s="66"/>
      <c r="G281" s="90"/>
      <c r="H281" s="90"/>
      <c r="I281" s="66">
        <v>1073707</v>
      </c>
      <c r="J281" s="66">
        <v>1074000</v>
      </c>
      <c r="K281" s="246">
        <f t="shared" si="44"/>
        <v>111.03345890934955</v>
      </c>
      <c r="L281" s="246">
        <f t="shared" si="45"/>
        <v>4.946558515453276</v>
      </c>
      <c r="M281" s="66"/>
      <c r="N281" s="66"/>
      <c r="O281" s="66"/>
      <c r="P281" s="130"/>
      <c r="Q281" s="130"/>
      <c r="R281" s="130"/>
      <c r="S281" s="130"/>
      <c r="T281" s="130"/>
    </row>
    <row r="282" spans="1:20" ht="15" hidden="1">
      <c r="A282" s="84"/>
      <c r="B282" s="180"/>
      <c r="C282" s="60"/>
      <c r="D282" s="55" t="s">
        <v>229</v>
      </c>
      <c r="E282" s="100">
        <v>553226</v>
      </c>
      <c r="F282" s="66"/>
      <c r="G282" s="90"/>
      <c r="H282" s="90"/>
      <c r="I282" s="66">
        <f>+E282*1.058</f>
        <v>585313.108</v>
      </c>
      <c r="J282" s="66">
        <v>146300</v>
      </c>
      <c r="K282" s="246">
        <f t="shared" si="44"/>
        <v>26.444888707327568</v>
      </c>
      <c r="L282" s="246">
        <f t="shared" si="45"/>
        <v>-75.00483108948245</v>
      </c>
      <c r="M282" s="66"/>
      <c r="N282" s="66"/>
      <c r="O282" s="66"/>
      <c r="P282" s="130"/>
      <c r="Q282" s="130"/>
      <c r="R282" s="130"/>
      <c r="S282" s="130"/>
      <c r="T282" s="130"/>
    </row>
    <row r="283" spans="1:20" ht="15" hidden="1">
      <c r="A283" s="84"/>
      <c r="B283" s="180"/>
      <c r="C283" s="60"/>
      <c r="D283" s="55" t="s">
        <v>230</v>
      </c>
      <c r="E283" s="100">
        <v>36447</v>
      </c>
      <c r="F283" s="66"/>
      <c r="G283" s="90"/>
      <c r="H283" s="90"/>
      <c r="I283" s="66">
        <f>+E283*1.058</f>
        <v>38560.926</v>
      </c>
      <c r="J283" s="66">
        <v>4000</v>
      </c>
      <c r="K283" s="246">
        <f t="shared" si="44"/>
        <v>10.974840178889895</v>
      </c>
      <c r="L283" s="246">
        <f t="shared" si="45"/>
        <v>-89.6268051239226</v>
      </c>
      <c r="M283" s="66"/>
      <c r="N283" s="66"/>
      <c r="O283" s="66"/>
      <c r="P283" s="130"/>
      <c r="Q283" s="130"/>
      <c r="R283" s="130"/>
      <c r="S283" s="130"/>
      <c r="T283" s="130"/>
    </row>
    <row r="284" spans="1:20" ht="15.75" thickBot="1">
      <c r="A284" s="84"/>
      <c r="B284" s="180"/>
      <c r="C284" s="60"/>
      <c r="D284" s="55"/>
      <c r="E284" s="100"/>
      <c r="F284" s="66"/>
      <c r="G284" s="90"/>
      <c r="H284" s="90"/>
      <c r="I284" s="66"/>
      <c r="J284" s="66"/>
      <c r="K284" s="246"/>
      <c r="L284" s="246"/>
      <c r="M284" s="415"/>
      <c r="N284" s="66"/>
      <c r="O284" s="66"/>
      <c r="P284" s="130"/>
      <c r="Q284" s="130"/>
      <c r="R284" s="130"/>
      <c r="S284" s="130"/>
      <c r="T284" s="130"/>
    </row>
    <row r="285" spans="1:20" ht="16.5" thickBot="1">
      <c r="A285" s="84"/>
      <c r="B285" s="72">
        <v>403</v>
      </c>
      <c r="C285" s="8"/>
      <c r="D285" s="9" t="s">
        <v>231</v>
      </c>
      <c r="E285" s="240">
        <v>314167.47899000003</v>
      </c>
      <c r="F285" s="66">
        <v>350000</v>
      </c>
      <c r="G285" s="90"/>
      <c r="H285" s="66"/>
      <c r="I285" s="91">
        <v>400000</v>
      </c>
      <c r="J285" s="355">
        <f>+'[2]REALJAN-JUN,PROJ  (2)'!AR286</f>
        <v>574226</v>
      </c>
      <c r="K285" s="246">
        <f aca="true" t="shared" si="46" ref="K285:K291">+J285/E285*100</f>
        <v>182.77703403485555</v>
      </c>
      <c r="L285" s="413">
        <f aca="true" t="shared" si="47" ref="L285:L291">+K285/$L$26*100-100</f>
        <v>72.75712101593152</v>
      </c>
      <c r="M285" s="416">
        <v>2179000</v>
      </c>
      <c r="N285" s="414">
        <f>+M285/J285*100</f>
        <v>379.4673177459746</v>
      </c>
      <c r="O285" s="66"/>
      <c r="P285" s="130"/>
      <c r="Q285" s="130"/>
      <c r="R285" s="130"/>
      <c r="S285" s="130"/>
      <c r="T285" s="130"/>
    </row>
    <row r="286" spans="1:20" ht="16.5" customHeight="1" hidden="1">
      <c r="A286" s="84"/>
      <c r="B286" s="73">
        <v>4030</v>
      </c>
      <c r="C286" s="13"/>
      <c r="D286" s="14" t="s">
        <v>232</v>
      </c>
      <c r="E286" s="100" t="e">
        <f>+'fn 2004TP'!#REF!</f>
        <v>#REF!</v>
      </c>
      <c r="F286" s="66">
        <v>0</v>
      </c>
      <c r="G286" s="90" t="e">
        <f aca="true" t="shared" si="48" ref="G286:G291">+F286/E286*100</f>
        <v>#REF!</v>
      </c>
      <c r="H286" s="66"/>
      <c r="I286" s="91"/>
      <c r="J286" s="66"/>
      <c r="K286" s="246" t="e">
        <f t="shared" si="46"/>
        <v>#REF!</v>
      </c>
      <c r="L286" s="246" t="e">
        <f t="shared" si="47"/>
        <v>#REF!</v>
      </c>
      <c r="M286" s="409"/>
      <c r="N286" s="66"/>
      <c r="O286" s="66"/>
      <c r="P286" s="130"/>
      <c r="Q286" s="130"/>
      <c r="R286" s="130"/>
      <c r="S286" s="130"/>
      <c r="T286" s="130"/>
    </row>
    <row r="287" spans="1:20" ht="16.5" customHeight="1" hidden="1">
      <c r="A287" s="84"/>
      <c r="B287" s="73">
        <v>4031</v>
      </c>
      <c r="C287" s="13"/>
      <c r="D287" s="14" t="s">
        <v>233</v>
      </c>
      <c r="E287" s="100" t="e">
        <f>+'fn 2004TP'!#REF!</f>
        <v>#REF!</v>
      </c>
      <c r="F287" s="66" t="s">
        <v>5</v>
      </c>
      <c r="G287" s="90" t="e">
        <f t="shared" si="48"/>
        <v>#VALUE!</v>
      </c>
      <c r="H287" s="66"/>
      <c r="I287" s="91" t="s">
        <v>5</v>
      </c>
      <c r="J287" s="66" t="s">
        <v>5</v>
      </c>
      <c r="K287" s="246" t="e">
        <f t="shared" si="46"/>
        <v>#VALUE!</v>
      </c>
      <c r="L287" s="246" t="e">
        <f t="shared" si="47"/>
        <v>#VALUE!</v>
      </c>
      <c r="M287" s="66" t="s">
        <v>5</v>
      </c>
      <c r="N287" s="66"/>
      <c r="O287" s="66"/>
      <c r="P287" s="130"/>
      <c r="Q287" s="130"/>
      <c r="R287" s="130"/>
      <c r="S287" s="130"/>
      <c r="T287" s="130"/>
    </row>
    <row r="288" spans="1:20" ht="16.5" customHeight="1" hidden="1">
      <c r="A288" s="84"/>
      <c r="B288" s="73">
        <v>4032</v>
      </c>
      <c r="C288" s="13"/>
      <c r="D288" s="14" t="s">
        <v>234</v>
      </c>
      <c r="E288" s="100" t="e">
        <f>+'fn 2004TP'!#REF!</f>
        <v>#REF!</v>
      </c>
      <c r="F288" s="66">
        <v>0</v>
      </c>
      <c r="G288" s="90" t="e">
        <f t="shared" si="48"/>
        <v>#REF!</v>
      </c>
      <c r="H288" s="66"/>
      <c r="I288" s="91"/>
      <c r="J288" s="66"/>
      <c r="K288" s="246" t="e">
        <f t="shared" si="46"/>
        <v>#REF!</v>
      </c>
      <c r="L288" s="246" t="e">
        <f t="shared" si="47"/>
        <v>#REF!</v>
      </c>
      <c r="M288" s="66"/>
      <c r="N288" s="66"/>
      <c r="O288" s="66"/>
      <c r="P288" s="130"/>
      <c r="Q288" s="130"/>
      <c r="R288" s="130"/>
      <c r="S288" s="130"/>
      <c r="T288" s="130"/>
    </row>
    <row r="289" spans="1:20" ht="16.5" customHeight="1" hidden="1">
      <c r="A289" s="84"/>
      <c r="B289" s="73">
        <v>4033</v>
      </c>
      <c r="C289" s="13"/>
      <c r="D289" s="14" t="s">
        <v>235</v>
      </c>
      <c r="E289" s="100" t="e">
        <f>+'fn 2004TP'!#REF!</f>
        <v>#REF!</v>
      </c>
      <c r="F289" s="66">
        <v>0</v>
      </c>
      <c r="G289" s="90" t="e">
        <f t="shared" si="48"/>
        <v>#REF!</v>
      </c>
      <c r="H289" s="66"/>
      <c r="I289" s="91"/>
      <c r="J289" s="66"/>
      <c r="K289" s="246" t="e">
        <f t="shared" si="46"/>
        <v>#REF!</v>
      </c>
      <c r="L289" s="246" t="e">
        <f t="shared" si="47"/>
        <v>#REF!</v>
      </c>
      <c r="M289" s="66"/>
      <c r="N289" s="66"/>
      <c r="O289" s="66"/>
      <c r="P289" s="130"/>
      <c r="Q289" s="130"/>
      <c r="R289" s="130"/>
      <c r="S289" s="130"/>
      <c r="T289" s="130"/>
    </row>
    <row r="290" spans="1:20" ht="16.5" customHeight="1" hidden="1">
      <c r="A290" s="84"/>
      <c r="B290" s="73">
        <v>4034</v>
      </c>
      <c r="C290" s="13"/>
      <c r="D290" s="14" t="s">
        <v>236</v>
      </c>
      <c r="E290" s="100" t="e">
        <f>+'fn 2004TP'!#REF!</f>
        <v>#REF!</v>
      </c>
      <c r="F290" s="66">
        <v>0</v>
      </c>
      <c r="G290" s="90" t="e">
        <f t="shared" si="48"/>
        <v>#REF!</v>
      </c>
      <c r="H290" s="66"/>
      <c r="I290" s="91"/>
      <c r="J290" s="66"/>
      <c r="K290" s="246" t="e">
        <f t="shared" si="46"/>
        <v>#REF!</v>
      </c>
      <c r="L290" s="246" t="e">
        <f t="shared" si="47"/>
        <v>#REF!</v>
      </c>
      <c r="M290" s="66"/>
      <c r="N290" s="66"/>
      <c r="O290" s="66"/>
      <c r="P290" s="130"/>
      <c r="Q290" s="130"/>
      <c r="R290" s="130"/>
      <c r="S290" s="130"/>
      <c r="T290" s="130"/>
    </row>
    <row r="291" spans="1:20" ht="16.5" customHeight="1" hidden="1">
      <c r="A291" s="84"/>
      <c r="B291" s="73"/>
      <c r="C291" s="13"/>
      <c r="D291" s="14"/>
      <c r="E291" s="100" t="e">
        <f>+'fn 2004TP'!#REF!</f>
        <v>#REF!</v>
      </c>
      <c r="F291" s="66">
        <v>0</v>
      </c>
      <c r="G291" s="90" t="e">
        <f t="shared" si="48"/>
        <v>#REF!</v>
      </c>
      <c r="H291" s="66"/>
      <c r="I291" s="91"/>
      <c r="J291" s="66"/>
      <c r="K291" s="246" t="e">
        <f t="shared" si="46"/>
        <v>#REF!</v>
      </c>
      <c r="L291" s="246" t="e">
        <f t="shared" si="47"/>
        <v>#REF!</v>
      </c>
      <c r="M291" s="66"/>
      <c r="N291" s="66"/>
      <c r="O291" s="66"/>
      <c r="P291" s="130"/>
      <c r="Q291" s="130"/>
      <c r="R291" s="130"/>
      <c r="S291" s="130"/>
      <c r="T291" s="130"/>
    </row>
    <row r="292" spans="1:20" ht="15">
      <c r="A292" s="84"/>
      <c r="B292" s="73"/>
      <c r="C292" s="13"/>
      <c r="D292" s="14"/>
      <c r="E292" s="100"/>
      <c r="F292" s="66"/>
      <c r="G292" s="90"/>
      <c r="H292" s="66"/>
      <c r="I292" s="91"/>
      <c r="J292" s="66"/>
      <c r="K292" s="246"/>
      <c r="L292" s="246"/>
      <c r="M292" s="66"/>
      <c r="N292" s="66"/>
      <c r="O292" s="66"/>
      <c r="P292" s="130"/>
      <c r="Q292" s="130"/>
      <c r="R292" s="130"/>
      <c r="S292" s="130"/>
      <c r="T292" s="130"/>
    </row>
    <row r="293" spans="1:20" ht="13.5" customHeight="1">
      <c r="A293" s="84"/>
      <c r="B293" s="72">
        <v>404</v>
      </c>
      <c r="C293" s="8"/>
      <c r="D293" s="9" t="s">
        <v>237</v>
      </c>
      <c r="E293" s="100"/>
      <c r="F293" s="66">
        <v>0</v>
      </c>
      <c r="G293" s="90"/>
      <c r="H293" s="66"/>
      <c r="I293" s="91">
        <v>0</v>
      </c>
      <c r="J293" s="66">
        <v>0</v>
      </c>
      <c r="K293" s="246"/>
      <c r="L293" s="246"/>
      <c r="M293" s="66">
        <v>0</v>
      </c>
      <c r="N293" s="66"/>
      <c r="O293" s="66"/>
      <c r="P293" s="130"/>
      <c r="Q293" s="130"/>
      <c r="R293" s="130"/>
      <c r="S293" s="130"/>
      <c r="T293" s="130"/>
    </row>
    <row r="294" spans="1:20" ht="16.5" customHeight="1" hidden="1">
      <c r="A294" s="84"/>
      <c r="B294" s="73">
        <v>4040</v>
      </c>
      <c r="C294" s="13"/>
      <c r="D294" s="14" t="s">
        <v>238</v>
      </c>
      <c r="E294" s="100" t="e">
        <f>+'fn 2004TP'!#REF!</f>
        <v>#REF!</v>
      </c>
      <c r="F294" s="66">
        <v>0</v>
      </c>
      <c r="G294" s="90" t="e">
        <f>+F294/E294*100</f>
        <v>#REF!</v>
      </c>
      <c r="H294" s="66"/>
      <c r="I294" s="91"/>
      <c r="J294" s="66"/>
      <c r="K294" s="246"/>
      <c r="L294" s="246"/>
      <c r="M294" s="66"/>
      <c r="N294" s="66"/>
      <c r="O294" s="66"/>
      <c r="P294" s="130"/>
      <c r="Q294" s="130"/>
      <c r="R294" s="130"/>
      <c r="S294" s="130"/>
      <c r="T294" s="130"/>
    </row>
    <row r="295" spans="1:20" ht="16.5" customHeight="1" hidden="1">
      <c r="A295" s="84"/>
      <c r="B295" s="73">
        <v>4041</v>
      </c>
      <c r="C295" s="13"/>
      <c r="D295" s="14" t="s">
        <v>239</v>
      </c>
      <c r="E295" s="100" t="e">
        <f>+'fn 2004TP'!#REF!</f>
        <v>#REF!</v>
      </c>
      <c r="F295" s="66">
        <v>0</v>
      </c>
      <c r="G295" s="90" t="e">
        <f>+F295/E295*100</f>
        <v>#REF!</v>
      </c>
      <c r="H295" s="66"/>
      <c r="I295" s="91"/>
      <c r="J295" s="66"/>
      <c r="K295" s="246"/>
      <c r="L295" s="246"/>
      <c r="M295" s="66"/>
      <c r="N295" s="66"/>
      <c r="O295" s="66"/>
      <c r="P295" s="130"/>
      <c r="Q295" s="130"/>
      <c r="R295" s="130"/>
      <c r="S295" s="130"/>
      <c r="T295" s="130"/>
    </row>
    <row r="296" spans="1:20" ht="16.5" customHeight="1" hidden="1">
      <c r="A296" s="84"/>
      <c r="B296" s="73">
        <v>4042</v>
      </c>
      <c r="C296" s="13"/>
      <c r="D296" s="14" t="s">
        <v>240</v>
      </c>
      <c r="E296" s="100" t="e">
        <f>+'fn 2004TP'!#REF!</f>
        <v>#REF!</v>
      </c>
      <c r="F296" s="66">
        <v>0</v>
      </c>
      <c r="G296" s="90" t="e">
        <f>+F296/E296*100</f>
        <v>#REF!</v>
      </c>
      <c r="H296" s="66"/>
      <c r="I296" s="91"/>
      <c r="J296" s="66"/>
      <c r="K296" s="246"/>
      <c r="L296" s="246"/>
      <c r="M296" s="66"/>
      <c r="N296" s="66"/>
      <c r="O296" s="66"/>
      <c r="P296" s="130"/>
      <c r="Q296" s="130"/>
      <c r="R296" s="130"/>
      <c r="S296" s="130"/>
      <c r="T296" s="130"/>
    </row>
    <row r="297" spans="1:20" ht="16.5" customHeight="1" hidden="1">
      <c r="A297" s="84"/>
      <c r="B297" s="73">
        <v>4043</v>
      </c>
      <c r="C297" s="13"/>
      <c r="D297" s="14" t="s">
        <v>241</v>
      </c>
      <c r="E297" s="100" t="e">
        <f>+'fn 2004TP'!#REF!</f>
        <v>#REF!</v>
      </c>
      <c r="F297" s="66">
        <v>0</v>
      </c>
      <c r="G297" s="90" t="e">
        <f>+F297/E297*100</f>
        <v>#REF!</v>
      </c>
      <c r="H297" s="66"/>
      <c r="I297" s="91"/>
      <c r="J297" s="66"/>
      <c r="K297" s="246"/>
      <c r="L297" s="246"/>
      <c r="M297" s="66"/>
      <c r="N297" s="66"/>
      <c r="O297" s="66"/>
      <c r="P297" s="130"/>
      <c r="Q297" s="130"/>
      <c r="R297" s="130"/>
      <c r="S297" s="130"/>
      <c r="T297" s="130"/>
    </row>
    <row r="298" spans="1:20" ht="15">
      <c r="A298" s="84"/>
      <c r="B298" s="73"/>
      <c r="C298" s="13"/>
      <c r="D298" s="14"/>
      <c r="E298" s="100"/>
      <c r="F298" s="66"/>
      <c r="G298" s="90"/>
      <c r="H298" s="66"/>
      <c r="I298" s="91"/>
      <c r="J298" s="66"/>
      <c r="K298" s="246"/>
      <c r="L298" s="246"/>
      <c r="M298" s="66"/>
      <c r="N298" s="66"/>
      <c r="O298" s="66"/>
      <c r="P298" s="130"/>
      <c r="Q298" s="130"/>
      <c r="R298" s="130"/>
      <c r="S298" s="130"/>
      <c r="T298" s="130"/>
    </row>
    <row r="299" spans="1:20" ht="15.75">
      <c r="A299" s="84"/>
      <c r="B299" s="72">
        <v>409</v>
      </c>
      <c r="C299" s="8"/>
      <c r="D299" s="9" t="s">
        <v>242</v>
      </c>
      <c r="E299" s="100"/>
      <c r="F299" s="66">
        <v>0</v>
      </c>
      <c r="G299" s="90"/>
      <c r="H299" s="66"/>
      <c r="I299" s="91">
        <v>0</v>
      </c>
      <c r="J299" s="66">
        <v>0</v>
      </c>
      <c r="K299" s="246"/>
      <c r="L299" s="246"/>
      <c r="M299" s="66">
        <v>0</v>
      </c>
      <c r="N299" s="66"/>
      <c r="O299" s="66"/>
      <c r="P299" s="130"/>
      <c r="Q299" s="130"/>
      <c r="R299" s="130"/>
      <c r="S299" s="130"/>
      <c r="T299" s="130"/>
    </row>
    <row r="300" spans="1:20" ht="15">
      <c r="A300" s="84"/>
      <c r="B300" s="73"/>
      <c r="C300" s="13"/>
      <c r="D300" s="14"/>
      <c r="E300" s="100"/>
      <c r="F300" s="66"/>
      <c r="G300" s="90"/>
      <c r="H300" s="66"/>
      <c r="I300" s="91"/>
      <c r="J300" s="66"/>
      <c r="K300" s="246"/>
      <c r="L300" s="246"/>
      <c r="M300" s="66"/>
      <c r="N300" s="66"/>
      <c r="O300" s="66"/>
      <c r="P300" s="130"/>
      <c r="Q300" s="130"/>
      <c r="R300" s="130"/>
      <c r="S300" s="130"/>
      <c r="T300" s="130"/>
    </row>
    <row r="301" spans="1:20" ht="16.5" customHeight="1" hidden="1">
      <c r="A301" s="84"/>
      <c r="B301" s="72">
        <v>409</v>
      </c>
      <c r="C301" s="8"/>
      <c r="D301" s="9" t="s">
        <v>243</v>
      </c>
      <c r="E301" s="100" t="e">
        <f>+'fn 2004TP'!#REF!</f>
        <v>#REF!</v>
      </c>
      <c r="F301" s="66">
        <v>0</v>
      </c>
      <c r="G301" s="90" t="e">
        <f aca="true" t="shared" si="49" ref="G301:G306">+F301/E301*100</f>
        <v>#REF!</v>
      </c>
      <c r="H301" s="66"/>
      <c r="I301" s="91"/>
      <c r="J301" s="66"/>
      <c r="K301" s="246" t="e">
        <f aca="true" t="shared" si="50" ref="K301:K306">+J301/E301*100</f>
        <v>#REF!</v>
      </c>
      <c r="L301" s="246" t="e">
        <f aca="true" t="shared" si="51" ref="L301:L306">+K301/$L$26*100-100</f>
        <v>#REF!</v>
      </c>
      <c r="M301" s="66"/>
      <c r="N301" s="66"/>
      <c r="O301" s="66"/>
      <c r="P301" s="130"/>
      <c r="Q301" s="130"/>
      <c r="R301" s="130"/>
      <c r="S301" s="130"/>
      <c r="T301" s="130"/>
    </row>
    <row r="302" spans="1:20" ht="16.5" customHeight="1" hidden="1">
      <c r="A302" s="84"/>
      <c r="B302" s="73">
        <v>4090</v>
      </c>
      <c r="C302" s="13"/>
      <c r="D302" s="14" t="s">
        <v>244</v>
      </c>
      <c r="E302" s="100" t="e">
        <f>+'fn 2004TP'!#REF!</f>
        <v>#REF!</v>
      </c>
      <c r="F302" s="66">
        <v>0</v>
      </c>
      <c r="G302" s="90" t="e">
        <f t="shared" si="49"/>
        <v>#REF!</v>
      </c>
      <c r="H302" s="66"/>
      <c r="I302" s="91"/>
      <c r="J302" s="66"/>
      <c r="K302" s="246" t="e">
        <f t="shared" si="50"/>
        <v>#REF!</v>
      </c>
      <c r="L302" s="246" t="e">
        <f t="shared" si="51"/>
        <v>#REF!</v>
      </c>
      <c r="M302" s="66"/>
      <c r="N302" s="66"/>
      <c r="O302" s="66"/>
      <c r="P302" s="130"/>
      <c r="Q302" s="130"/>
      <c r="R302" s="130"/>
      <c r="S302" s="130"/>
      <c r="T302" s="130"/>
    </row>
    <row r="303" spans="1:20" ht="16.5" customHeight="1" hidden="1">
      <c r="A303" s="84"/>
      <c r="B303" s="73">
        <v>4091</v>
      </c>
      <c r="C303" s="13"/>
      <c r="D303" s="14" t="s">
        <v>245</v>
      </c>
      <c r="E303" s="100" t="e">
        <f>+'fn 2004TP'!#REF!</f>
        <v>#REF!</v>
      </c>
      <c r="F303" s="66">
        <v>0</v>
      </c>
      <c r="G303" s="90" t="e">
        <f t="shared" si="49"/>
        <v>#REF!</v>
      </c>
      <c r="H303" s="66"/>
      <c r="I303" s="91"/>
      <c r="J303" s="66"/>
      <c r="K303" s="246" t="e">
        <f t="shared" si="50"/>
        <v>#REF!</v>
      </c>
      <c r="L303" s="246" t="e">
        <f t="shared" si="51"/>
        <v>#REF!</v>
      </c>
      <c r="M303" s="66"/>
      <c r="N303" s="66"/>
      <c r="O303" s="66"/>
      <c r="P303" s="130"/>
      <c r="Q303" s="130"/>
      <c r="R303" s="130"/>
      <c r="S303" s="130"/>
      <c r="T303" s="130"/>
    </row>
    <row r="304" spans="1:20" ht="16.5" customHeight="1" hidden="1">
      <c r="A304" s="84"/>
      <c r="B304" s="73">
        <v>4092</v>
      </c>
      <c r="C304" s="13"/>
      <c r="D304" s="14" t="s">
        <v>246</v>
      </c>
      <c r="E304" s="100" t="e">
        <f>+'fn 2004TP'!#REF!</f>
        <v>#REF!</v>
      </c>
      <c r="F304" s="66">
        <v>0</v>
      </c>
      <c r="G304" s="90" t="e">
        <f t="shared" si="49"/>
        <v>#REF!</v>
      </c>
      <c r="H304" s="66"/>
      <c r="I304" s="91"/>
      <c r="J304" s="66"/>
      <c r="K304" s="246" t="e">
        <f t="shared" si="50"/>
        <v>#REF!</v>
      </c>
      <c r="L304" s="246" t="e">
        <f t="shared" si="51"/>
        <v>#REF!</v>
      </c>
      <c r="M304" s="66"/>
      <c r="N304" s="66"/>
      <c r="O304" s="66"/>
      <c r="P304" s="130"/>
      <c r="Q304" s="130"/>
      <c r="R304" s="130"/>
      <c r="S304" s="130"/>
      <c r="T304" s="130"/>
    </row>
    <row r="305" spans="1:20" ht="16.5" customHeight="1" hidden="1">
      <c r="A305" s="84"/>
      <c r="B305" s="73"/>
      <c r="C305" s="13"/>
      <c r="D305" s="14"/>
      <c r="E305" s="100" t="e">
        <f>+'fn 2004TP'!#REF!</f>
        <v>#REF!</v>
      </c>
      <c r="F305" s="66">
        <v>0</v>
      </c>
      <c r="G305" s="90" t="e">
        <f t="shared" si="49"/>
        <v>#REF!</v>
      </c>
      <c r="H305" s="66"/>
      <c r="I305" s="91"/>
      <c r="J305" s="66"/>
      <c r="K305" s="246" t="e">
        <f t="shared" si="50"/>
        <v>#REF!</v>
      </c>
      <c r="L305" s="246" t="e">
        <f t="shared" si="51"/>
        <v>#REF!</v>
      </c>
      <c r="M305" s="66"/>
      <c r="N305" s="66"/>
      <c r="O305" s="66"/>
      <c r="P305" s="130"/>
      <c r="Q305" s="130"/>
      <c r="R305" s="130"/>
      <c r="S305" s="130"/>
      <c r="T305" s="130"/>
    </row>
    <row r="306" spans="1:20" ht="20.25" customHeight="1">
      <c r="A306" s="84"/>
      <c r="B306" s="72">
        <v>41</v>
      </c>
      <c r="C306" s="8"/>
      <c r="D306" s="9" t="s">
        <v>247</v>
      </c>
      <c r="E306" s="101" t="e">
        <f>E309+E314+E348+E351+E433</f>
        <v>#REF!</v>
      </c>
      <c r="F306" s="101">
        <f>F309+F314+F348+F351+F433</f>
        <v>334759247.40094507</v>
      </c>
      <c r="G306" s="90" t="e">
        <f t="shared" si="49"/>
        <v>#REF!</v>
      </c>
      <c r="H306" s="90" t="e">
        <f>+G306/H$26*100-100</f>
        <v>#REF!</v>
      </c>
      <c r="I306" s="101">
        <v>367939749.44404405</v>
      </c>
      <c r="J306" s="101">
        <f>J309+J314+J348+J351+J433</f>
        <v>372525611.9144718</v>
      </c>
      <c r="K306" s="246" t="e">
        <f t="shared" si="50"/>
        <v>#REF!</v>
      </c>
      <c r="L306" s="246" t="e">
        <f t="shared" si="51"/>
        <v>#REF!</v>
      </c>
      <c r="M306" s="101">
        <f>M309+M314+M348+M351+M433</f>
        <v>397255610.88109374</v>
      </c>
      <c r="N306" s="90">
        <f>+M306/J306*100</f>
        <v>106.6384694570476</v>
      </c>
      <c r="O306" s="90">
        <f>+N306/O$26*100-100</f>
        <v>1.6572635434200151</v>
      </c>
      <c r="P306" s="130"/>
      <c r="Q306" s="130"/>
      <c r="R306" s="130"/>
      <c r="S306" s="130"/>
      <c r="T306" s="130"/>
    </row>
    <row r="307" spans="1:20" ht="15.75">
      <c r="A307" s="86"/>
      <c r="B307" s="253"/>
      <c r="C307" s="166"/>
      <c r="D307" s="251" t="s">
        <v>48</v>
      </c>
      <c r="E307" s="252" t="e">
        <f aca="true" t="shared" si="52" ref="E307:J307">+E306/E$562*100</f>
        <v>#REF!</v>
      </c>
      <c r="F307" s="252">
        <f t="shared" si="52"/>
        <v>6.635465756212984</v>
      </c>
      <c r="G307" s="252" t="e">
        <f t="shared" si="52"/>
        <v>#REF!</v>
      </c>
      <c r="H307" s="252" t="e">
        <f t="shared" si="52"/>
        <v>#REF!</v>
      </c>
      <c r="I307" s="252">
        <f t="shared" si="52"/>
        <v>6.671497333575893</v>
      </c>
      <c r="J307" s="252">
        <f t="shared" si="52"/>
        <v>6.538634298956906</v>
      </c>
      <c r="K307" s="98"/>
      <c r="L307" s="98"/>
      <c r="M307" s="252">
        <f>+M306/M$562*100</f>
        <v>6.421019119433208</v>
      </c>
      <c r="N307" s="99"/>
      <c r="O307" s="99"/>
      <c r="P307" s="130"/>
      <c r="Q307" s="130"/>
      <c r="R307" s="130"/>
      <c r="S307" s="130"/>
      <c r="T307" s="130"/>
    </row>
    <row r="308" spans="1:20" ht="15">
      <c r="A308" s="84"/>
      <c r="B308" s="73"/>
      <c r="C308" s="13"/>
      <c r="D308" s="14"/>
      <c r="E308" s="100"/>
      <c r="F308" s="66"/>
      <c r="G308" s="90"/>
      <c r="H308" s="66"/>
      <c r="I308" s="90"/>
      <c r="J308" s="66"/>
      <c r="K308" s="246"/>
      <c r="L308" s="246"/>
      <c r="M308" s="66"/>
      <c r="N308" s="66"/>
      <c r="O308" s="66"/>
      <c r="P308" s="130"/>
      <c r="Q308" s="130"/>
      <c r="R308" s="130"/>
      <c r="S308" s="130"/>
      <c r="T308" s="130"/>
    </row>
    <row r="309" spans="1:20" ht="15.75">
      <c r="A309" s="84"/>
      <c r="B309" s="72">
        <v>410</v>
      </c>
      <c r="C309" s="8"/>
      <c r="D309" s="9" t="s">
        <v>248</v>
      </c>
      <c r="E309" s="100"/>
      <c r="F309" s="66">
        <v>0</v>
      </c>
      <c r="G309" s="90"/>
      <c r="H309" s="66"/>
      <c r="I309" s="91">
        <v>0</v>
      </c>
      <c r="J309" s="66">
        <f>J310+J311+J312</f>
        <v>0</v>
      </c>
      <c r="K309" s="246"/>
      <c r="L309" s="246"/>
      <c r="M309" s="66">
        <f>M310+M311+M312</f>
        <v>0</v>
      </c>
      <c r="N309" s="66"/>
      <c r="O309" s="66"/>
      <c r="P309" s="130"/>
      <c r="Q309" s="130"/>
      <c r="R309" s="130"/>
      <c r="S309" s="130"/>
      <c r="T309" s="130"/>
    </row>
    <row r="310" spans="1:20" ht="16.5" customHeight="1" hidden="1">
      <c r="A310" s="84"/>
      <c r="B310" s="73">
        <v>4100</v>
      </c>
      <c r="C310" s="13"/>
      <c r="D310" s="14" t="s">
        <v>249</v>
      </c>
      <c r="E310" s="100" t="e">
        <f>+'fn 2004TP'!#REF!</f>
        <v>#REF!</v>
      </c>
      <c r="F310" s="66">
        <v>0</v>
      </c>
      <c r="G310" s="90" t="e">
        <f>+F310/E310*100</f>
        <v>#REF!</v>
      </c>
      <c r="H310" s="66"/>
      <c r="I310" s="91">
        <v>0</v>
      </c>
      <c r="J310" s="66">
        <v>0</v>
      </c>
      <c r="K310" s="246"/>
      <c r="L310" s="246">
        <f>+K310/$L$26*100-100</f>
        <v>-100</v>
      </c>
      <c r="M310" s="66">
        <v>0</v>
      </c>
      <c r="N310" s="66"/>
      <c r="O310" s="66"/>
      <c r="P310" s="130"/>
      <c r="Q310" s="130"/>
      <c r="R310" s="130"/>
      <c r="S310" s="130"/>
      <c r="T310" s="130"/>
    </row>
    <row r="311" spans="1:20" ht="16.5" customHeight="1" hidden="1">
      <c r="A311" s="84"/>
      <c r="B311" s="73">
        <v>4101</v>
      </c>
      <c r="C311" s="13"/>
      <c r="D311" s="14" t="s">
        <v>250</v>
      </c>
      <c r="E311" s="100" t="e">
        <f>+'fn 2004TP'!#REF!</f>
        <v>#REF!</v>
      </c>
      <c r="F311" s="66">
        <v>0</v>
      </c>
      <c r="G311" s="90" t="e">
        <f>+F311/E311*100</f>
        <v>#REF!</v>
      </c>
      <c r="H311" s="66"/>
      <c r="I311" s="91">
        <v>0</v>
      </c>
      <c r="J311" s="66">
        <v>0</v>
      </c>
      <c r="K311" s="246"/>
      <c r="L311" s="246">
        <f>+K311/$L$26*100-100</f>
        <v>-100</v>
      </c>
      <c r="M311" s="66">
        <v>0</v>
      </c>
      <c r="N311" s="66"/>
      <c r="O311" s="66"/>
      <c r="P311" s="130"/>
      <c r="Q311" s="130"/>
      <c r="R311" s="130"/>
      <c r="S311" s="130"/>
      <c r="T311" s="130"/>
    </row>
    <row r="312" spans="1:20" ht="16.5" customHeight="1" hidden="1">
      <c r="A312" s="84"/>
      <c r="B312" s="73">
        <v>4102</v>
      </c>
      <c r="C312" s="13"/>
      <c r="D312" s="14" t="s">
        <v>251</v>
      </c>
      <c r="E312" s="100" t="e">
        <f>+'fn 2004TP'!#REF!</f>
        <v>#REF!</v>
      </c>
      <c r="F312" s="66">
        <v>0</v>
      </c>
      <c r="G312" s="90" t="e">
        <f>+F312/E312*100</f>
        <v>#REF!</v>
      </c>
      <c r="H312" s="66"/>
      <c r="I312" s="91">
        <v>0</v>
      </c>
      <c r="J312" s="66">
        <v>0</v>
      </c>
      <c r="K312" s="246"/>
      <c r="L312" s="246">
        <f>+K312/$L$26*100-100</f>
        <v>-100</v>
      </c>
      <c r="M312" s="66">
        <v>0</v>
      </c>
      <c r="N312" s="66"/>
      <c r="O312" s="66"/>
      <c r="P312" s="130"/>
      <c r="Q312" s="130"/>
      <c r="R312" s="130"/>
      <c r="S312" s="130"/>
      <c r="T312" s="130"/>
    </row>
    <row r="313" spans="1:20" ht="15">
      <c r="A313" s="84"/>
      <c r="B313" s="73"/>
      <c r="C313" s="13"/>
      <c r="D313" s="14"/>
      <c r="E313" s="100"/>
      <c r="F313" s="66"/>
      <c r="G313" s="90"/>
      <c r="H313" s="66"/>
      <c r="I313" s="91"/>
      <c r="J313" s="66"/>
      <c r="K313" s="246"/>
      <c r="L313" s="246"/>
      <c r="M313" s="66"/>
      <c r="N313" s="66"/>
      <c r="O313" s="66"/>
      <c r="P313" s="130"/>
      <c r="Q313" s="130"/>
      <c r="R313" s="130"/>
      <c r="S313" s="130"/>
      <c r="T313" s="130"/>
    </row>
    <row r="314" spans="1:20" ht="15.75">
      <c r="A314" s="84"/>
      <c r="B314" s="72">
        <v>411</v>
      </c>
      <c r="C314" s="8"/>
      <c r="D314" s="9" t="s">
        <v>252</v>
      </c>
      <c r="E314" s="101" t="e">
        <f>E316+E318+E320+E322+E324+E326+E329+E339+E342</f>
        <v>#REF!</v>
      </c>
      <c r="F314" s="101">
        <f>F316+F318+F320+F322+F324+F326+F329+F339+F342</f>
        <v>34978780.14836395</v>
      </c>
      <c r="G314" s="90" t="e">
        <f>+F314/E314*100</f>
        <v>#REF!</v>
      </c>
      <c r="H314" s="90" t="e">
        <f>+G314/H$26*100-100</f>
        <v>#REF!</v>
      </c>
      <c r="I314" s="101">
        <v>41346567.51029606</v>
      </c>
      <c r="J314" s="101">
        <f>J316+J318+J320+J322+J324+J326+J329+J339+J342</f>
        <v>42014157.129039995</v>
      </c>
      <c r="K314" s="246" t="e">
        <f>+J314/E314*100</f>
        <v>#REF!</v>
      </c>
      <c r="L314" s="246" t="e">
        <f>+K314/$L$26*100-100</f>
        <v>#REF!</v>
      </c>
      <c r="M314" s="101">
        <f>M316+M318+M320+M322+M324+M326+M329+M339+M342</f>
        <v>45536615.536033995</v>
      </c>
      <c r="N314" s="90">
        <f>+M314/J314*100</f>
        <v>108.38397970516299</v>
      </c>
      <c r="O314" s="90">
        <f>+N314/O$26*100-100</f>
        <v>3.3212389944356318</v>
      </c>
      <c r="P314" s="130"/>
      <c r="Q314" s="130"/>
      <c r="R314" s="130"/>
      <c r="S314" s="130"/>
      <c r="T314" s="130"/>
    </row>
    <row r="315" spans="1:20" ht="15.75">
      <c r="A315" s="86"/>
      <c r="B315" s="253"/>
      <c r="C315" s="166"/>
      <c r="D315" s="251" t="s">
        <v>48</v>
      </c>
      <c r="E315" s="252" t="e">
        <f aca="true" t="shared" si="53" ref="E315:J315">+E314/E$562*100</f>
        <v>#REF!</v>
      </c>
      <c r="F315" s="252">
        <f t="shared" si="53"/>
        <v>0.693335582722774</v>
      </c>
      <c r="G315" s="252" t="e">
        <f t="shared" si="53"/>
        <v>#REF!</v>
      </c>
      <c r="H315" s="252" t="e">
        <f t="shared" si="53"/>
        <v>#REF!</v>
      </c>
      <c r="I315" s="252">
        <f t="shared" si="53"/>
        <v>0.7496975124711439</v>
      </c>
      <c r="J315" s="252">
        <f t="shared" si="53"/>
        <v>0.7374397895325856</v>
      </c>
      <c r="K315" s="98"/>
      <c r="L315" s="98"/>
      <c r="M315" s="252">
        <f>+M314/M$562*100</f>
        <v>0.736028569471035</v>
      </c>
      <c r="N315" s="99"/>
      <c r="O315" s="99"/>
      <c r="P315" s="130"/>
      <c r="Q315" s="130"/>
      <c r="R315" s="130"/>
      <c r="S315" s="130"/>
      <c r="T315" s="130"/>
    </row>
    <row r="316" spans="1:20" ht="16.5" customHeight="1" hidden="1">
      <c r="A316" s="84"/>
      <c r="B316" s="73">
        <v>4110</v>
      </c>
      <c r="C316" s="13"/>
      <c r="D316" s="14" t="s">
        <v>253</v>
      </c>
      <c r="E316" s="100" t="e">
        <f>+'fn 2004TP'!#REF!</f>
        <v>#REF!</v>
      </c>
      <c r="F316" s="66">
        <v>0</v>
      </c>
      <c r="G316" s="90" t="e">
        <f aca="true" t="shared" si="54" ref="G316:G327">+F316/E316*100</f>
        <v>#REF!</v>
      </c>
      <c r="H316" s="66"/>
      <c r="I316" s="90">
        <v>0</v>
      </c>
      <c r="J316" s="66">
        <v>0</v>
      </c>
      <c r="K316" s="246" t="e">
        <f aca="true" t="shared" si="55" ref="K316:K327">+J316/E316*100</f>
        <v>#REF!</v>
      </c>
      <c r="L316" s="246" t="e">
        <f aca="true" t="shared" si="56" ref="L316:L327">+K316/$L$26*100-100</f>
        <v>#REF!</v>
      </c>
      <c r="M316" s="66">
        <v>0</v>
      </c>
      <c r="N316" s="66"/>
      <c r="O316" s="66"/>
      <c r="P316" s="130"/>
      <c r="Q316" s="130"/>
      <c r="R316" s="130"/>
      <c r="S316" s="130"/>
      <c r="T316" s="130"/>
    </row>
    <row r="317" spans="1:20" ht="16.5" customHeight="1" hidden="1">
      <c r="A317" s="86"/>
      <c r="B317" s="74"/>
      <c r="C317" s="15"/>
      <c r="D317" s="16"/>
      <c r="E317" s="100" t="e">
        <f>+'fn 2004TP'!#REF!</f>
        <v>#REF!</v>
      </c>
      <c r="F317" s="89">
        <v>0</v>
      </c>
      <c r="G317" s="90" t="e">
        <f t="shared" si="54"/>
        <v>#REF!</v>
      </c>
      <c r="H317" s="89"/>
      <c r="I317" s="90"/>
      <c r="J317" s="89"/>
      <c r="K317" s="246" t="e">
        <f t="shared" si="55"/>
        <v>#REF!</v>
      </c>
      <c r="L317" s="246" t="e">
        <f t="shared" si="56"/>
        <v>#REF!</v>
      </c>
      <c r="M317" s="89"/>
      <c r="N317" s="89"/>
      <c r="O317" s="89"/>
      <c r="P317" s="130"/>
      <c r="Q317" s="130"/>
      <c r="R317" s="130"/>
      <c r="S317" s="130"/>
      <c r="T317" s="130"/>
    </row>
    <row r="318" spans="1:20" ht="16.5" customHeight="1" hidden="1">
      <c r="A318" s="84"/>
      <c r="B318" s="73">
        <v>4111</v>
      </c>
      <c r="C318" s="13"/>
      <c r="D318" s="14" t="s">
        <v>254</v>
      </c>
      <c r="E318" s="100" t="e">
        <f>+'fn 2004TP'!#REF!</f>
        <v>#REF!</v>
      </c>
      <c r="F318" s="66">
        <v>0</v>
      </c>
      <c r="G318" s="90" t="e">
        <f t="shared" si="54"/>
        <v>#REF!</v>
      </c>
      <c r="H318" s="66"/>
      <c r="I318" s="90">
        <v>0</v>
      </c>
      <c r="J318" s="66">
        <v>0</v>
      </c>
      <c r="K318" s="246" t="e">
        <f t="shared" si="55"/>
        <v>#REF!</v>
      </c>
      <c r="L318" s="246" t="e">
        <f t="shared" si="56"/>
        <v>#REF!</v>
      </c>
      <c r="M318" s="66">
        <v>0</v>
      </c>
      <c r="N318" s="66"/>
      <c r="O318" s="66"/>
      <c r="P318" s="130"/>
      <c r="Q318" s="130"/>
      <c r="R318" s="130"/>
      <c r="S318" s="130"/>
      <c r="T318" s="130"/>
    </row>
    <row r="319" spans="1:20" ht="16.5" customHeight="1" hidden="1">
      <c r="A319" s="86"/>
      <c r="B319" s="74"/>
      <c r="C319" s="15"/>
      <c r="D319" s="16"/>
      <c r="E319" s="100" t="e">
        <f>+'fn 2004TP'!#REF!</f>
        <v>#REF!</v>
      </c>
      <c r="F319" s="89">
        <v>0</v>
      </c>
      <c r="G319" s="90" t="e">
        <f t="shared" si="54"/>
        <v>#REF!</v>
      </c>
      <c r="H319" s="89"/>
      <c r="I319" s="90"/>
      <c r="J319" s="89"/>
      <c r="K319" s="246" t="e">
        <f t="shared" si="55"/>
        <v>#REF!</v>
      </c>
      <c r="L319" s="246" t="e">
        <f t="shared" si="56"/>
        <v>#REF!</v>
      </c>
      <c r="M319" s="89"/>
      <c r="N319" s="89"/>
      <c r="O319" s="89"/>
      <c r="P319" s="130"/>
      <c r="Q319" s="130"/>
      <c r="R319" s="130"/>
      <c r="S319" s="130"/>
      <c r="T319" s="130"/>
    </row>
    <row r="320" spans="1:20" ht="16.5" customHeight="1" hidden="1">
      <c r="A320" s="84"/>
      <c r="B320" s="73">
        <v>4112</v>
      </c>
      <c r="C320" s="13"/>
      <c r="D320" s="14" t="s">
        <v>255</v>
      </c>
      <c r="E320" s="100" t="e">
        <f>+'fn 2004TP'!#REF!</f>
        <v>#REF!</v>
      </c>
      <c r="F320" s="66">
        <v>0</v>
      </c>
      <c r="G320" s="90" t="e">
        <f t="shared" si="54"/>
        <v>#REF!</v>
      </c>
      <c r="H320" s="66"/>
      <c r="I320" s="90">
        <v>0</v>
      </c>
      <c r="J320" s="66">
        <v>0</v>
      </c>
      <c r="K320" s="246" t="e">
        <f t="shared" si="55"/>
        <v>#REF!</v>
      </c>
      <c r="L320" s="246" t="e">
        <f t="shared" si="56"/>
        <v>#REF!</v>
      </c>
      <c r="M320" s="66">
        <v>0</v>
      </c>
      <c r="N320" s="66"/>
      <c r="O320" s="66"/>
      <c r="P320" s="130"/>
      <c r="Q320" s="130"/>
      <c r="R320" s="130"/>
      <c r="S320" s="130"/>
      <c r="T320" s="130"/>
    </row>
    <row r="321" spans="1:20" ht="16.5" customHeight="1" hidden="1">
      <c r="A321" s="86"/>
      <c r="B321" s="74"/>
      <c r="C321" s="15"/>
      <c r="D321" s="16"/>
      <c r="E321" s="100" t="e">
        <f>+'fn 2004TP'!#REF!</f>
        <v>#REF!</v>
      </c>
      <c r="F321" s="89">
        <v>0</v>
      </c>
      <c r="G321" s="90" t="e">
        <f t="shared" si="54"/>
        <v>#REF!</v>
      </c>
      <c r="H321" s="89"/>
      <c r="I321" s="90"/>
      <c r="J321" s="89"/>
      <c r="K321" s="246" t="e">
        <f t="shared" si="55"/>
        <v>#REF!</v>
      </c>
      <c r="L321" s="246" t="e">
        <f t="shared" si="56"/>
        <v>#REF!</v>
      </c>
      <c r="M321" s="89"/>
      <c r="N321" s="89"/>
      <c r="O321" s="89"/>
      <c r="P321" s="130"/>
      <c r="Q321" s="130"/>
      <c r="R321" s="130"/>
      <c r="S321" s="130"/>
      <c r="T321" s="130"/>
    </row>
    <row r="322" spans="1:20" ht="16.5" customHeight="1" hidden="1">
      <c r="A322" s="84"/>
      <c r="B322" s="73">
        <v>4113</v>
      </c>
      <c r="C322" s="13"/>
      <c r="D322" s="14" t="s">
        <v>256</v>
      </c>
      <c r="E322" s="100" t="e">
        <f>+'fn 2004TP'!#REF!</f>
        <v>#REF!</v>
      </c>
      <c r="F322" s="66">
        <v>0</v>
      </c>
      <c r="G322" s="90" t="e">
        <f t="shared" si="54"/>
        <v>#REF!</v>
      </c>
      <c r="H322" s="66"/>
      <c r="I322" s="90">
        <v>0</v>
      </c>
      <c r="J322" s="66">
        <v>0</v>
      </c>
      <c r="K322" s="246" t="e">
        <f t="shared" si="55"/>
        <v>#REF!</v>
      </c>
      <c r="L322" s="246" t="e">
        <f t="shared" si="56"/>
        <v>#REF!</v>
      </c>
      <c r="M322" s="66">
        <v>0</v>
      </c>
      <c r="N322" s="66"/>
      <c r="O322" s="66"/>
      <c r="P322" s="130"/>
      <c r="Q322" s="130"/>
      <c r="R322" s="130"/>
      <c r="S322" s="130"/>
      <c r="T322" s="130"/>
    </row>
    <row r="323" spans="1:20" ht="16.5" customHeight="1" hidden="1">
      <c r="A323" s="86"/>
      <c r="B323" s="74"/>
      <c r="C323" s="15"/>
      <c r="D323" s="16"/>
      <c r="E323" s="100" t="e">
        <f>+'fn 2004TP'!#REF!</f>
        <v>#REF!</v>
      </c>
      <c r="F323" s="89">
        <v>0</v>
      </c>
      <c r="G323" s="90" t="e">
        <f t="shared" si="54"/>
        <v>#REF!</v>
      </c>
      <c r="H323" s="89"/>
      <c r="I323" s="90"/>
      <c r="J323" s="89"/>
      <c r="K323" s="246" t="e">
        <f t="shared" si="55"/>
        <v>#REF!</v>
      </c>
      <c r="L323" s="246" t="e">
        <f t="shared" si="56"/>
        <v>#REF!</v>
      </c>
      <c r="M323" s="89"/>
      <c r="N323" s="89"/>
      <c r="O323" s="89"/>
      <c r="P323" s="130"/>
      <c r="Q323" s="130"/>
      <c r="R323" s="130"/>
      <c r="S323" s="130"/>
      <c r="T323" s="130"/>
    </row>
    <row r="324" spans="1:20" ht="16.5" customHeight="1" hidden="1">
      <c r="A324" s="84"/>
      <c r="B324" s="73">
        <v>4114</v>
      </c>
      <c r="C324" s="13"/>
      <c r="D324" s="14" t="s">
        <v>257</v>
      </c>
      <c r="E324" s="100" t="e">
        <f>+'fn 2004TP'!#REF!</f>
        <v>#REF!</v>
      </c>
      <c r="F324" s="66">
        <v>0</v>
      </c>
      <c r="G324" s="90" t="e">
        <f t="shared" si="54"/>
        <v>#REF!</v>
      </c>
      <c r="H324" s="66"/>
      <c r="I324" s="90">
        <v>0</v>
      </c>
      <c r="J324" s="66">
        <v>0</v>
      </c>
      <c r="K324" s="246" t="e">
        <f t="shared" si="55"/>
        <v>#REF!</v>
      </c>
      <c r="L324" s="246" t="e">
        <f t="shared" si="56"/>
        <v>#REF!</v>
      </c>
      <c r="M324" s="66">
        <v>0</v>
      </c>
      <c r="N324" s="66"/>
      <c r="O324" s="66"/>
      <c r="P324" s="130"/>
      <c r="Q324" s="130"/>
      <c r="R324" s="130"/>
      <c r="S324" s="130"/>
      <c r="T324" s="130"/>
    </row>
    <row r="325" spans="1:20" ht="16.5" customHeight="1" hidden="1">
      <c r="A325" s="86"/>
      <c r="B325" s="78"/>
      <c r="C325" s="10"/>
      <c r="D325" s="11"/>
      <c r="E325" s="100" t="e">
        <f>+'fn 2004TP'!#REF!</f>
        <v>#REF!</v>
      </c>
      <c r="F325" s="89">
        <v>0</v>
      </c>
      <c r="G325" s="90" t="e">
        <f t="shared" si="54"/>
        <v>#REF!</v>
      </c>
      <c r="H325" s="89"/>
      <c r="I325" s="90"/>
      <c r="J325" s="89"/>
      <c r="K325" s="246" t="e">
        <f t="shared" si="55"/>
        <v>#REF!</v>
      </c>
      <c r="L325" s="246" t="e">
        <f t="shared" si="56"/>
        <v>#REF!</v>
      </c>
      <c r="M325" s="89"/>
      <c r="N325" s="89"/>
      <c r="O325" s="89"/>
      <c r="P325" s="130"/>
      <c r="Q325" s="130"/>
      <c r="R325" s="130"/>
      <c r="S325" s="130"/>
      <c r="T325" s="130"/>
    </row>
    <row r="326" spans="1:20" ht="16.5" customHeight="1" hidden="1">
      <c r="A326" s="84"/>
      <c r="B326" s="73">
        <v>4115</v>
      </c>
      <c r="C326" s="13"/>
      <c r="D326" s="14" t="s">
        <v>258</v>
      </c>
      <c r="E326" s="100" t="e">
        <f>+'fn 2004TP'!#REF!</f>
        <v>#REF!</v>
      </c>
      <c r="F326" s="66">
        <v>0</v>
      </c>
      <c r="G326" s="90" t="e">
        <f t="shared" si="54"/>
        <v>#REF!</v>
      </c>
      <c r="H326" s="66"/>
      <c r="I326" s="90">
        <v>0</v>
      </c>
      <c r="J326" s="66">
        <v>0</v>
      </c>
      <c r="K326" s="246" t="e">
        <f t="shared" si="55"/>
        <v>#REF!</v>
      </c>
      <c r="L326" s="246" t="e">
        <f t="shared" si="56"/>
        <v>#REF!</v>
      </c>
      <c r="M326" s="66">
        <v>0</v>
      </c>
      <c r="N326" s="66"/>
      <c r="O326" s="66"/>
      <c r="P326" s="130"/>
      <c r="Q326" s="130"/>
      <c r="R326" s="130"/>
      <c r="S326" s="130"/>
      <c r="T326" s="130"/>
    </row>
    <row r="327" spans="1:20" ht="16.5" customHeight="1" hidden="1">
      <c r="A327" s="86"/>
      <c r="B327" s="74"/>
      <c r="C327" s="15"/>
      <c r="D327" s="16"/>
      <c r="E327" s="100" t="e">
        <f>+'fn 2004TP'!#REF!</f>
        <v>#REF!</v>
      </c>
      <c r="F327" s="89">
        <v>0</v>
      </c>
      <c r="G327" s="90" t="e">
        <f t="shared" si="54"/>
        <v>#REF!</v>
      </c>
      <c r="H327" s="89"/>
      <c r="I327" s="90"/>
      <c r="J327" s="89"/>
      <c r="K327" s="246" t="e">
        <f t="shared" si="55"/>
        <v>#REF!</v>
      </c>
      <c r="L327" s="246" t="e">
        <f t="shared" si="56"/>
        <v>#REF!</v>
      </c>
      <c r="M327" s="89"/>
      <c r="N327" s="89"/>
      <c r="O327" s="89"/>
      <c r="P327" s="130"/>
      <c r="Q327" s="130"/>
      <c r="R327" s="130"/>
      <c r="S327" s="130"/>
      <c r="T327" s="130"/>
    </row>
    <row r="328" spans="1:20" ht="15">
      <c r="A328" s="86"/>
      <c r="B328" s="74"/>
      <c r="C328" s="15"/>
      <c r="D328" s="16"/>
      <c r="E328" s="100"/>
      <c r="F328" s="89"/>
      <c r="G328" s="90"/>
      <c r="H328" s="89"/>
      <c r="I328" s="90"/>
      <c r="J328" s="89"/>
      <c r="K328" s="246"/>
      <c r="L328" s="246"/>
      <c r="M328" s="89"/>
      <c r="N328" s="89"/>
      <c r="O328" s="89"/>
      <c r="P328" s="130"/>
      <c r="Q328" s="130"/>
      <c r="R328" s="130"/>
      <c r="S328" s="130"/>
      <c r="T328" s="130"/>
    </row>
    <row r="329" spans="1:20" ht="15.75">
      <c r="A329" s="84"/>
      <c r="B329" s="72">
        <v>4116</v>
      </c>
      <c r="C329" s="8"/>
      <c r="D329" s="9" t="s">
        <v>259</v>
      </c>
      <c r="E329" s="101">
        <f>+E331+E335</f>
        <v>34261289.9403</v>
      </c>
      <c r="F329" s="101">
        <f>+F331+F335</f>
        <v>32769093.4912</v>
      </c>
      <c r="G329" s="90">
        <f>+F329/E329*100</f>
        <v>95.64465771224569</v>
      </c>
      <c r="H329" s="90">
        <f>+G329/H$26*100-100</f>
        <v>-10.108404405784128</v>
      </c>
      <c r="I329" s="101">
        <v>38817158.37801546</v>
      </c>
      <c r="J329" s="101">
        <f>+J331+J335</f>
        <v>38990950.29504</v>
      </c>
      <c r="K329" s="246">
        <f>+J329/E329*100</f>
        <v>113.80467683202058</v>
      </c>
      <c r="L329" s="246">
        <f>+K329/$L$26*100-100</f>
        <v>7.565857119112081</v>
      </c>
      <c r="M329" s="101">
        <f>+M331+M335</f>
        <v>42365271.567168</v>
      </c>
      <c r="N329" s="90">
        <f>+M329/J329*100</f>
        <v>108.65411395873889</v>
      </c>
      <c r="O329" s="90">
        <f>+N329/O$26*100-100</f>
        <v>3.5787549654326796</v>
      </c>
      <c r="P329" s="130"/>
      <c r="Q329" s="130"/>
      <c r="R329" s="130"/>
      <c r="S329" s="130"/>
      <c r="T329" s="130"/>
    </row>
    <row r="330" spans="1:20" ht="18" customHeight="1">
      <c r="A330" s="84"/>
      <c r="B330" s="253"/>
      <c r="C330" s="166"/>
      <c r="D330" s="251" t="s">
        <v>48</v>
      </c>
      <c r="E330" s="252">
        <f>+E329/E$562*100</f>
        <v>0.6483353856929917</v>
      </c>
      <c r="F330" s="252">
        <f>+F329/F$562*100</f>
        <v>0.6495360454152627</v>
      </c>
      <c r="G330" s="252">
        <f>+G329/G$562*100</f>
        <v>100.1851911447017</v>
      </c>
      <c r="H330" s="252" t="e">
        <f>+H329/H$562*100</f>
        <v>#DIV/0!</v>
      </c>
      <c r="I330" s="252">
        <v>0.7038469334182313</v>
      </c>
      <c r="J330" s="252">
        <f>+J329/J$562*100</f>
        <v>0.6843759376378284</v>
      </c>
      <c r="K330" s="98"/>
      <c r="L330" s="98"/>
      <c r="M330" s="252">
        <f>+M329/M$562*100</f>
        <v>0.684768726436413</v>
      </c>
      <c r="N330" s="99"/>
      <c r="O330" s="99"/>
      <c r="P330" s="130"/>
      <c r="Q330" s="130"/>
      <c r="R330" s="130"/>
      <c r="S330" s="130"/>
      <c r="T330" s="130"/>
    </row>
    <row r="331" spans="1:20" ht="15.75">
      <c r="A331" s="86"/>
      <c r="B331" s="74">
        <v>411600</v>
      </c>
      <c r="C331" s="10"/>
      <c r="D331" s="306" t="s">
        <v>260</v>
      </c>
      <c r="E331" s="100">
        <f>+E332+E333</f>
        <v>24750947.42418</v>
      </c>
      <c r="F331" s="100">
        <f>+F332+F333</f>
        <v>23914528.12352</v>
      </c>
      <c r="G331" s="246">
        <f>+F331/E331*100</f>
        <v>96.62065743858001</v>
      </c>
      <c r="H331" s="246">
        <f>+G331/H$26*100-100</f>
        <v>-9.191111429906002</v>
      </c>
      <c r="I331" s="100">
        <v>28074199.51740472</v>
      </c>
      <c r="J331" s="247">
        <f>+J332+J333</f>
        <v>27289160.066527996</v>
      </c>
      <c r="K331" s="246">
        <f>+J331/E331*100</f>
        <v>110.25501205609743</v>
      </c>
      <c r="L331" s="246">
        <f>+K331/$L$26*100-100</f>
        <v>4.210786442436131</v>
      </c>
      <c r="M331" s="247">
        <f>+M332+M333</f>
        <v>29305847.071517594</v>
      </c>
      <c r="N331" s="246">
        <f>+M331/J331*100</f>
        <v>107.39006623902361</v>
      </c>
      <c r="O331" s="246">
        <f>+N331/O$26*100-100</f>
        <v>2.3737523727584318</v>
      </c>
      <c r="P331" s="130"/>
      <c r="Q331" s="130"/>
      <c r="R331" s="130"/>
      <c r="S331" s="130"/>
      <c r="T331" s="130"/>
    </row>
    <row r="332" spans="1:20" ht="15.75">
      <c r="A332" s="86"/>
      <c r="B332" s="74"/>
      <c r="C332" s="10"/>
      <c r="D332" s="16" t="s">
        <v>261</v>
      </c>
      <c r="E332" s="100">
        <v>21714611.774557248</v>
      </c>
      <c r="F332" s="91">
        <v>20862902.46336</v>
      </c>
      <c r="G332" s="90">
        <f>+F332/E332*100</f>
        <v>96.07771338470262</v>
      </c>
      <c r="H332" s="90">
        <f>+G332/H$26*100-100</f>
        <v>-9.70139719482836</v>
      </c>
      <c r="I332" s="91">
        <v>24573153.70289017</v>
      </c>
      <c r="J332" s="376">
        <f>+'[2]REALJAN-JUN,PROJ  (2)'!AR333</f>
        <v>23252276.390047997</v>
      </c>
      <c r="K332" s="246">
        <f>+J332/E332*100</f>
        <v>107.08124387143046</v>
      </c>
      <c r="L332" s="246">
        <f>+K332/$L$26*100-100</f>
        <v>1.211005549556205</v>
      </c>
      <c r="M332" s="66">
        <f>+J332*M$41/100+M334-350000</f>
        <v>24966197.119301595</v>
      </c>
      <c r="N332" s="90">
        <f>+M332/J332*100</f>
        <v>107.37098037415021</v>
      </c>
      <c r="O332" s="90">
        <f>+N332/O$26*100-100</f>
        <v>2.3555580306484245</v>
      </c>
      <c r="P332" s="130"/>
      <c r="Q332" s="130"/>
      <c r="R332" s="130"/>
      <c r="S332" s="130"/>
      <c r="T332" s="130"/>
    </row>
    <row r="333" spans="1:20" ht="16.5" thickBot="1">
      <c r="A333" s="86"/>
      <c r="B333" s="74"/>
      <c r="C333" s="10"/>
      <c r="D333" s="16" t="s">
        <v>262</v>
      </c>
      <c r="E333" s="100">
        <v>3036335.6496227523</v>
      </c>
      <c r="F333" s="91">
        <v>3051625.6601600004</v>
      </c>
      <c r="G333" s="90">
        <f>+F333/E333*100</f>
        <v>100.50356786276733</v>
      </c>
      <c r="H333" s="90">
        <f>+G333/H$26*100-100</f>
        <v>-5.541759527474326</v>
      </c>
      <c r="I333" s="91">
        <v>3501045.814514553</v>
      </c>
      <c r="J333" s="376">
        <f>+'[2]REALJAN-JUN,PROJ  (2)'!AR334</f>
        <v>4036883.67648</v>
      </c>
      <c r="K333" s="246">
        <f>+J333/E333*100</f>
        <v>132.9524842545507</v>
      </c>
      <c r="L333" s="246">
        <f>+K333/$L$26*100-100</f>
        <v>25.663973775567797</v>
      </c>
      <c r="M333" s="415">
        <f>+J333*M$41/100</f>
        <v>4339649.952216</v>
      </c>
      <c r="N333" s="90">
        <f>+M333/J333*100</f>
        <v>107.50000000000001</v>
      </c>
      <c r="O333" s="90">
        <f>+N333/O$26*100-100</f>
        <v>2.4785510009532885</v>
      </c>
      <c r="P333" s="130"/>
      <c r="Q333" s="130"/>
      <c r="R333" s="130"/>
      <c r="S333" s="130"/>
      <c r="T333" s="130"/>
    </row>
    <row r="334" spans="1:20" ht="16.5" thickBot="1">
      <c r="A334" s="86"/>
      <c r="B334" s="74"/>
      <c r="C334" s="10"/>
      <c r="D334" s="411" t="s">
        <v>263</v>
      </c>
      <c r="E334" s="100"/>
      <c r="F334" s="91"/>
      <c r="G334" s="90"/>
      <c r="H334" s="90"/>
      <c r="I334" s="91"/>
      <c r="J334" s="91"/>
      <c r="K334" s="246"/>
      <c r="L334" s="413"/>
      <c r="M334" s="417">
        <f>150000+170000</f>
        <v>320000</v>
      </c>
      <c r="N334" s="414"/>
      <c r="O334" s="90"/>
      <c r="P334" s="130"/>
      <c r="Q334" s="130"/>
      <c r="R334" s="130"/>
      <c r="S334" s="130"/>
      <c r="T334" s="130"/>
    </row>
    <row r="335" spans="1:20" ht="15.75">
      <c r="A335" s="84"/>
      <c r="B335" s="74">
        <v>411699</v>
      </c>
      <c r="C335" s="8"/>
      <c r="D335" s="9" t="s">
        <v>264</v>
      </c>
      <c r="E335" s="103">
        <f>+E336+E337</f>
        <v>9510342.516120002</v>
      </c>
      <c r="F335" s="103">
        <f>+F336+F337</f>
        <v>8854565.36768</v>
      </c>
      <c r="G335" s="90">
        <f>+F335/E335*100</f>
        <v>93.10458958414524</v>
      </c>
      <c r="H335" s="90">
        <f>+G335/H$26*100-100</f>
        <v>-12.4956864810665</v>
      </c>
      <c r="I335" s="103">
        <v>10742958.860610735</v>
      </c>
      <c r="J335" s="91">
        <f>+J336+J337</f>
        <v>11701790.228512</v>
      </c>
      <c r="K335" s="246">
        <f>+J335/E335*100</f>
        <v>123.0427843022215</v>
      </c>
      <c r="L335" s="246">
        <f>+K335/$L$26*100-100</f>
        <v>16.297527695861547</v>
      </c>
      <c r="M335" s="115">
        <f>+M336+M337</f>
        <v>13059424.495650401</v>
      </c>
      <c r="N335" s="90">
        <f>+M335/J335*100</f>
        <v>111.60193646123015</v>
      </c>
      <c r="O335" s="90">
        <f>+N335/O$26*100-100</f>
        <v>6.3888812785797455</v>
      </c>
      <c r="P335" s="130"/>
      <c r="Q335" s="130"/>
      <c r="R335" s="130"/>
      <c r="S335" s="130"/>
      <c r="T335" s="130"/>
    </row>
    <row r="336" spans="1:20" ht="15.75">
      <c r="A336" s="84"/>
      <c r="B336" s="74"/>
      <c r="C336" s="8"/>
      <c r="D336" s="16" t="s">
        <v>261</v>
      </c>
      <c r="E336" s="100">
        <v>8341227.127484094</v>
      </c>
      <c r="F336" s="91">
        <v>7674662.333120001</v>
      </c>
      <c r="G336" s="90">
        <f>+F336/E336*100</f>
        <v>92.00879218157503</v>
      </c>
      <c r="H336" s="90">
        <f>+G336/H$26*100-100</f>
        <v>-13.525571257918216</v>
      </c>
      <c r="I336" s="91">
        <v>9394578.170378108</v>
      </c>
      <c r="J336" s="376">
        <f>+'[2]REALJAN-JUN,PROJ  (2)'!AR337</f>
        <v>10956866.477264</v>
      </c>
      <c r="K336" s="246">
        <f>+J336/E336*100</f>
        <v>131.35796819584797</v>
      </c>
      <c r="L336" s="246">
        <f>+K336/$L$26*100-100</f>
        <v>24.156869750328894</v>
      </c>
      <c r="M336" s="66">
        <f>+J336*M$41/100+M338</f>
        <v>12258631.463058801</v>
      </c>
      <c r="N336" s="90">
        <f>+M336/J336*100</f>
        <v>111.88081454215055</v>
      </c>
      <c r="O336" s="90">
        <f>+N336/O$26*100-100</f>
        <v>6.654732642660193</v>
      </c>
      <c r="P336" s="130"/>
      <c r="Q336" s="130"/>
      <c r="R336" s="130"/>
      <c r="S336" s="130"/>
      <c r="T336" s="130"/>
    </row>
    <row r="337" spans="1:20" ht="16.5" thickBot="1">
      <c r="A337" s="84"/>
      <c r="B337" s="74"/>
      <c r="C337" s="8"/>
      <c r="D337" s="16" t="s">
        <v>262</v>
      </c>
      <c r="E337" s="100">
        <v>1169115.3886359076</v>
      </c>
      <c r="F337" s="91">
        <v>1179903.0345599998</v>
      </c>
      <c r="G337" s="90">
        <f>+F337/E337*100</f>
        <v>100.92271866651923</v>
      </c>
      <c r="H337" s="90">
        <f>+G337/H$26*100-100</f>
        <v>-5.147820802143585</v>
      </c>
      <c r="I337" s="91">
        <v>1348380.6902326273</v>
      </c>
      <c r="J337" s="376">
        <f>+'[2]REALJAN-JUN,PROJ  (2)'!AR338</f>
        <v>744923.7512480001</v>
      </c>
      <c r="K337" s="246">
        <f>+J337/E337*100</f>
        <v>63.7168716183915</v>
      </c>
      <c r="L337" s="246">
        <f>+K337/$L$26*100-100</f>
        <v>-39.77611378223865</v>
      </c>
      <c r="M337" s="415">
        <f>+J337*M$41/100</f>
        <v>800793.0325916001</v>
      </c>
      <c r="N337" s="90">
        <f>+M337/J337*100</f>
        <v>107.5</v>
      </c>
      <c r="O337" s="90">
        <f>+N337/O$26*100-100</f>
        <v>2.4785510009532885</v>
      </c>
      <c r="P337" s="130"/>
      <c r="Q337" s="130"/>
      <c r="R337" s="130"/>
      <c r="S337" s="130"/>
      <c r="T337" s="130"/>
    </row>
    <row r="338" spans="1:20" ht="16.5" thickBot="1">
      <c r="A338" s="84"/>
      <c r="B338" s="74"/>
      <c r="C338" s="8"/>
      <c r="D338" s="412" t="s">
        <v>265</v>
      </c>
      <c r="E338" s="100"/>
      <c r="F338" s="66"/>
      <c r="G338" s="90"/>
      <c r="H338" s="66"/>
      <c r="I338" s="91"/>
      <c r="J338" s="66"/>
      <c r="K338" s="246"/>
      <c r="L338" s="413"/>
      <c r="M338" s="416">
        <v>480000</v>
      </c>
      <c r="N338" s="358"/>
      <c r="O338" s="66"/>
      <c r="P338" s="130"/>
      <c r="Q338" s="130"/>
      <c r="R338" s="130"/>
      <c r="S338" s="130"/>
      <c r="T338" s="130"/>
    </row>
    <row r="339" spans="1:20" ht="15">
      <c r="A339" s="84"/>
      <c r="B339" s="73">
        <v>4117</v>
      </c>
      <c r="C339" s="13"/>
      <c r="D339" s="14" t="s">
        <v>266</v>
      </c>
      <c r="E339" s="100"/>
      <c r="F339" s="66">
        <v>0</v>
      </c>
      <c r="G339" s="90"/>
      <c r="H339" s="66"/>
      <c r="I339" s="91">
        <v>0</v>
      </c>
      <c r="J339" s="66"/>
      <c r="K339" s="246"/>
      <c r="L339" s="246"/>
      <c r="M339" s="409">
        <v>0</v>
      </c>
      <c r="N339" s="66"/>
      <c r="O339" s="66"/>
      <c r="P339" s="130"/>
      <c r="Q339" s="130"/>
      <c r="R339" s="130"/>
      <c r="S339" s="130"/>
      <c r="T339" s="130"/>
    </row>
    <row r="340" spans="1:20" ht="16.5" customHeight="1" hidden="1">
      <c r="A340" s="86"/>
      <c r="B340" s="74"/>
      <c r="C340" s="15"/>
      <c r="D340" s="16"/>
      <c r="E340" s="100" t="e">
        <f>+'fn 2004TP'!#REF!</f>
        <v>#REF!</v>
      </c>
      <c r="F340" s="89">
        <v>0</v>
      </c>
      <c r="G340" s="90" t="e">
        <f>+F340/E340*100</f>
        <v>#REF!</v>
      </c>
      <c r="H340" s="89"/>
      <c r="I340" s="91"/>
      <c r="J340" s="89"/>
      <c r="K340" s="246"/>
      <c r="L340" s="246"/>
      <c r="M340" s="89"/>
      <c r="N340" s="89"/>
      <c r="O340" s="89"/>
      <c r="P340" s="130"/>
      <c r="Q340" s="130"/>
      <c r="R340" s="130"/>
      <c r="S340" s="130"/>
      <c r="T340" s="130"/>
    </row>
    <row r="341" spans="1:20" ht="15">
      <c r="A341" s="86"/>
      <c r="B341" s="74"/>
      <c r="C341" s="15"/>
      <c r="D341" s="16"/>
      <c r="E341" s="100"/>
      <c r="F341" s="89"/>
      <c r="G341" s="90"/>
      <c r="H341" s="89"/>
      <c r="I341" s="91"/>
      <c r="J341" s="89"/>
      <c r="K341" s="246"/>
      <c r="L341" s="246"/>
      <c r="M341" s="89"/>
      <c r="N341" s="89"/>
      <c r="O341" s="89"/>
      <c r="P341" s="130"/>
      <c r="Q341" s="130"/>
      <c r="R341" s="130"/>
      <c r="S341" s="130"/>
      <c r="T341" s="130"/>
    </row>
    <row r="342" spans="1:20" ht="15">
      <c r="A342" s="84"/>
      <c r="B342" s="73">
        <v>4119</v>
      </c>
      <c r="C342" s="13"/>
      <c r="D342" s="14" t="s">
        <v>267</v>
      </c>
      <c r="E342" s="239">
        <f>SUM(E343:E346)</f>
        <v>2407328.98782</v>
      </c>
      <c r="F342" s="239">
        <f>SUM(F343:F346)</f>
        <v>2209686.657163947</v>
      </c>
      <c r="G342" s="90">
        <f>+F342/E342*100</f>
        <v>91.78997421390952</v>
      </c>
      <c r="H342" s="90">
        <f>+G342/H$26*100-100</f>
        <v>-13.731227242566248</v>
      </c>
      <c r="I342" s="239">
        <v>2529409.132280604</v>
      </c>
      <c r="J342" s="91">
        <f>SUM(J343:J346)</f>
        <v>3023206.834</v>
      </c>
      <c r="K342" s="246">
        <f>+J342/E342*100</f>
        <v>125.58345158871364</v>
      </c>
      <c r="L342" s="246">
        <f>+K342/$L$26*100-100</f>
        <v>18.69891454509795</v>
      </c>
      <c r="M342" s="91">
        <f>SUM(M343:M346)</f>
        <v>3171343.9688660004</v>
      </c>
      <c r="N342" s="90">
        <f>+M342/J342*100</f>
        <v>104.90000000000002</v>
      </c>
      <c r="O342" s="90">
        <f>+N342/O$26*100-100</f>
        <v>0</v>
      </c>
      <c r="P342" s="130"/>
      <c r="Q342" s="130"/>
      <c r="R342" s="130"/>
      <c r="S342" s="130"/>
      <c r="T342" s="130"/>
    </row>
    <row r="343" spans="1:20" ht="15">
      <c r="A343" s="84"/>
      <c r="B343" s="73">
        <v>411910</v>
      </c>
      <c r="C343" s="13"/>
      <c r="D343" s="14" t="s">
        <v>268</v>
      </c>
      <c r="E343" s="100">
        <v>556934.7696799999</v>
      </c>
      <c r="F343" s="91">
        <v>493079.27466666675</v>
      </c>
      <c r="G343" s="90">
        <f>+F343/E343*100</f>
        <v>88.53447504273744</v>
      </c>
      <c r="H343" s="90">
        <f>+G343/H$26*100-100</f>
        <v>-16.790906914720466</v>
      </c>
      <c r="I343" s="91">
        <v>465815.812</v>
      </c>
      <c r="J343" s="376">
        <f>+'[2]REALJAN-JUN,PROJ  (2)'!AR344</f>
        <v>388710.9</v>
      </c>
      <c r="K343" s="246">
        <f>+J343/E343*100</f>
        <v>69.79469071815055</v>
      </c>
      <c r="L343" s="246">
        <f>+K343/$L$26*100-100</f>
        <v>-34.03148325316583</v>
      </c>
      <c r="M343" s="91">
        <f>+J343*M$29/100</f>
        <v>407757.73410000006</v>
      </c>
      <c r="N343" s="90">
        <f>+M343/J343*100</f>
        <v>104.90000000000002</v>
      </c>
      <c r="O343" s="90">
        <f>+N343/O$26*100-100</f>
        <v>0</v>
      </c>
      <c r="P343" s="130"/>
      <c r="Q343" s="130"/>
      <c r="R343" s="130"/>
      <c r="S343" s="130"/>
      <c r="T343" s="130"/>
    </row>
    <row r="344" spans="1:20" ht="15">
      <c r="A344" s="84"/>
      <c r="B344" s="73">
        <v>411911</v>
      </c>
      <c r="C344" s="13"/>
      <c r="D344" s="14" t="s">
        <v>269</v>
      </c>
      <c r="E344" s="100">
        <v>1796181.99591</v>
      </c>
      <c r="F344" s="91">
        <v>1686607.3824972801</v>
      </c>
      <c r="G344" s="90">
        <f>+F344/E344*100</f>
        <v>93.89958179837973</v>
      </c>
      <c r="H344" s="90">
        <f>+G344/H$26*100-100</f>
        <v>-11.748513347387473</v>
      </c>
      <c r="I344" s="91">
        <v>2009909.278</v>
      </c>
      <c r="J344" s="376">
        <f>+'[2]REALJAN-JUN,PROJ  (2)'!AR345</f>
        <v>2294443.586</v>
      </c>
      <c r="K344" s="246">
        <f>+J344/E344*100</f>
        <v>127.74003921788368</v>
      </c>
      <c r="L344" s="246">
        <f>+K344/$L$26*100-100</f>
        <v>20.73727714355735</v>
      </c>
      <c r="M344" s="91">
        <f>+J344*M$29/100</f>
        <v>2406871.3217140003</v>
      </c>
      <c r="N344" s="90">
        <f>+M344/J344*100</f>
        <v>104.90000000000002</v>
      </c>
      <c r="O344" s="90">
        <f>+N344/O$26*100-100</f>
        <v>0</v>
      </c>
      <c r="P344" s="130"/>
      <c r="Q344" s="130"/>
      <c r="R344" s="130"/>
      <c r="S344" s="130"/>
      <c r="T344" s="130"/>
    </row>
    <row r="345" spans="1:20" ht="15">
      <c r="A345" s="84"/>
      <c r="B345" s="73">
        <v>411912</v>
      </c>
      <c r="C345" s="13"/>
      <c r="D345" s="14" t="s">
        <v>270</v>
      </c>
      <c r="E345" s="100">
        <v>54190.40513</v>
      </c>
      <c r="F345" s="91">
        <v>30000</v>
      </c>
      <c r="G345" s="90"/>
      <c r="H345" s="90"/>
      <c r="I345" s="91">
        <v>53684.04228060415</v>
      </c>
      <c r="J345" s="376">
        <f>+'[2]REALJAN-JUN,PROJ  (2)'!AR346</f>
        <v>50052.348</v>
      </c>
      <c r="K345" s="246">
        <f>+J345/E345*100</f>
        <v>92.3638564427171</v>
      </c>
      <c r="L345" s="246">
        <f>+K345/$L$26*100-100</f>
        <v>-12.699568579662483</v>
      </c>
      <c r="M345" s="91">
        <f>+J345*M$29/100</f>
        <v>52504.913052</v>
      </c>
      <c r="N345" s="90">
        <f>+M345/J345*100</f>
        <v>104.90000000000002</v>
      </c>
      <c r="O345" s="90">
        <f>+N345/O$26*100-100</f>
        <v>0</v>
      </c>
      <c r="P345" s="130"/>
      <c r="Q345" s="130"/>
      <c r="R345" s="130"/>
      <c r="S345" s="130"/>
      <c r="T345" s="130"/>
    </row>
    <row r="346" spans="1:20" ht="15">
      <c r="A346" s="84"/>
      <c r="B346" s="73">
        <v>411999</v>
      </c>
      <c r="C346" s="13"/>
      <c r="D346" s="14" t="s">
        <v>271</v>
      </c>
      <c r="E346" s="100">
        <v>21.8171</v>
      </c>
      <c r="F346" s="66"/>
      <c r="G346" s="90"/>
      <c r="H346" s="66"/>
      <c r="I346" s="91"/>
      <c r="J346" s="376">
        <f>+'[2]REALJAN-JUN,PROJ  (2)'!AR347</f>
        <v>290000</v>
      </c>
      <c r="K346" s="246"/>
      <c r="L346" s="246"/>
      <c r="M346" s="91">
        <f>+J346*M$29/100</f>
        <v>304210</v>
      </c>
      <c r="N346" s="90">
        <f>+M346/J346*100</f>
        <v>104.89999999999999</v>
      </c>
      <c r="O346" s="90">
        <f>+N346/O$26*100-100</f>
        <v>0</v>
      </c>
      <c r="P346" s="130"/>
      <c r="Q346" s="130"/>
      <c r="R346" s="130"/>
      <c r="S346" s="130"/>
      <c r="T346" s="130"/>
    </row>
    <row r="347" spans="1:20" ht="15">
      <c r="A347" s="84"/>
      <c r="B347" s="73"/>
      <c r="C347" s="13"/>
      <c r="D347" s="14"/>
      <c r="E347" s="100"/>
      <c r="F347" s="66"/>
      <c r="G347" s="90"/>
      <c r="H347" s="66"/>
      <c r="I347" s="91"/>
      <c r="J347" s="66"/>
      <c r="K347" s="246"/>
      <c r="L347" s="246"/>
      <c r="M347" s="66"/>
      <c r="N347" s="66"/>
      <c r="O347" s="66"/>
      <c r="P347" s="130"/>
      <c r="Q347" s="130"/>
      <c r="R347" s="130"/>
      <c r="S347" s="130"/>
      <c r="T347" s="130"/>
    </row>
    <row r="348" spans="1:20" ht="15.75">
      <c r="A348" s="84"/>
      <c r="B348" s="72">
        <v>412</v>
      </c>
      <c r="C348" s="8"/>
      <c r="D348" s="9" t="s">
        <v>272</v>
      </c>
      <c r="E348" s="242">
        <f>E349</f>
        <v>951712.19274</v>
      </c>
      <c r="F348" s="242">
        <f>F349</f>
        <v>1081275.4586666666</v>
      </c>
      <c r="G348" s="102">
        <f>+F348/E348*100</f>
        <v>113.61370243178783</v>
      </c>
      <c r="H348" s="102">
        <f>+G348/H$26*100-100</f>
        <v>6.779795518597581</v>
      </c>
      <c r="I348" s="242">
        <v>1089009.415</v>
      </c>
      <c r="J348" s="101">
        <f>J349</f>
        <v>1065276</v>
      </c>
      <c r="K348" s="246">
        <f>+J348/E348*100</f>
        <v>111.93257879076315</v>
      </c>
      <c r="L348" s="246">
        <f>+K348/$L$26*100-100</f>
        <v>5.796388271042673</v>
      </c>
      <c r="M348" s="66">
        <f>M349</f>
        <v>1043134</v>
      </c>
      <c r="N348" s="90">
        <f>+M348/J348*100</f>
        <v>97.92147762645548</v>
      </c>
      <c r="O348" s="90">
        <f>+N348/O$26*100-100</f>
        <v>-6.652547543893732</v>
      </c>
      <c r="P348" s="130"/>
      <c r="Q348" s="130"/>
      <c r="R348" s="130"/>
      <c r="S348" s="130"/>
      <c r="T348" s="130"/>
    </row>
    <row r="349" spans="1:20" ht="15">
      <c r="A349" s="84"/>
      <c r="B349" s="73">
        <v>4120</v>
      </c>
      <c r="C349" s="13"/>
      <c r="D349" s="14" t="s">
        <v>273</v>
      </c>
      <c r="E349" s="100">
        <v>951712.19274</v>
      </c>
      <c r="F349" s="91">
        <v>1081275.4586666666</v>
      </c>
      <c r="G349" s="90">
        <f>+F349/E349*100</f>
        <v>113.61370243178783</v>
      </c>
      <c r="H349" s="90">
        <f>+G349/H$26*100-100</f>
        <v>6.779795518597581</v>
      </c>
      <c r="I349" s="91">
        <v>1089009.415</v>
      </c>
      <c r="J349" s="376">
        <f>+'[2]REALJAN-JUN,PROJ  (2)'!AR350</f>
        <v>1065276</v>
      </c>
      <c r="K349" s="246">
        <f>+J349/E349*100</f>
        <v>111.93257879076315</v>
      </c>
      <c r="L349" s="246">
        <f>+K349/$L$26*100-100</f>
        <v>5.796388271042673</v>
      </c>
      <c r="M349" s="91">
        <v>1043134</v>
      </c>
      <c r="N349" s="90">
        <f>+M349/J349*100</f>
        <v>97.92147762645548</v>
      </c>
      <c r="O349" s="90">
        <f>+N349/O$26*100-100</f>
        <v>-6.652547543893732</v>
      </c>
      <c r="P349" s="130"/>
      <c r="Q349" s="130"/>
      <c r="R349" s="130"/>
      <c r="S349" s="130"/>
      <c r="T349" s="130"/>
    </row>
    <row r="350" spans="1:20" ht="15">
      <c r="A350" s="84"/>
      <c r="B350" s="73"/>
      <c r="C350" s="13"/>
      <c r="D350" s="354" t="s">
        <v>274</v>
      </c>
      <c r="E350" s="100"/>
      <c r="F350" s="66"/>
      <c r="G350" s="90"/>
      <c r="H350" s="66"/>
      <c r="I350" s="91"/>
      <c r="J350" s="327">
        <v>63000</v>
      </c>
      <c r="K350" s="246"/>
      <c r="L350" s="246"/>
      <c r="M350" s="66"/>
      <c r="N350" s="66"/>
      <c r="O350" s="66"/>
      <c r="P350" s="130"/>
      <c r="Q350" s="130"/>
      <c r="R350" s="130"/>
      <c r="S350" s="130"/>
      <c r="T350" s="130"/>
    </row>
    <row r="351" spans="1:20" ht="15.75">
      <c r="A351" s="84"/>
      <c r="B351" s="72">
        <v>413</v>
      </c>
      <c r="C351" s="8"/>
      <c r="D351" s="9" t="s">
        <v>275</v>
      </c>
      <c r="E351" s="101" t="e">
        <f>E353+E356+E363+E365+E425</f>
        <v>#REF!</v>
      </c>
      <c r="F351" s="101">
        <f>F353+F356+F363+F365+F425</f>
        <v>297142405.68991446</v>
      </c>
      <c r="G351" s="90" t="e">
        <f>+F351/E351*100</f>
        <v>#REF!</v>
      </c>
      <c r="H351" s="90" t="e">
        <f>+G351/H$26*100-100</f>
        <v>#REF!</v>
      </c>
      <c r="I351" s="101">
        <v>323703252.488748</v>
      </c>
      <c r="J351" s="101">
        <f>J353+J356+J363+J365+J425</f>
        <v>326506071.7854318</v>
      </c>
      <c r="K351" s="246" t="e">
        <f>+J351/E351*100</f>
        <v>#REF!</v>
      </c>
      <c r="L351" s="246" t="e">
        <f>+K351/$L$26*100-100</f>
        <v>#REF!</v>
      </c>
      <c r="M351" s="101">
        <f>M353+M356+M363+M365+M425</f>
        <v>347722458.70205975</v>
      </c>
      <c r="N351" s="90">
        <f>+M351/J351*100</f>
        <v>106.49800685194319</v>
      </c>
      <c r="O351" s="90">
        <f>+N351/O$26*100-100</f>
        <v>1.5233621086207592</v>
      </c>
      <c r="P351" s="130"/>
      <c r="Q351" s="130"/>
      <c r="R351" s="130"/>
      <c r="S351" s="130"/>
      <c r="T351" s="130"/>
    </row>
    <row r="352" spans="1:20" ht="15.75">
      <c r="A352" s="86"/>
      <c r="B352" s="253"/>
      <c r="C352" s="166"/>
      <c r="D352" s="251" t="s">
        <v>48</v>
      </c>
      <c r="E352" s="252" t="e">
        <f aca="true" t="shared" si="57" ref="E352:J352">+E351/E$562*100</f>
        <v>#REF!</v>
      </c>
      <c r="F352" s="252">
        <f t="shared" si="57"/>
        <v>5.889839557778285</v>
      </c>
      <c r="G352" s="252" t="e">
        <f t="shared" si="57"/>
        <v>#REF!</v>
      </c>
      <c r="H352" s="252" t="e">
        <f t="shared" si="57"/>
        <v>#REF!</v>
      </c>
      <c r="I352" s="252">
        <f t="shared" si="57"/>
        <v>5.869399512044169</v>
      </c>
      <c r="J352" s="252">
        <f t="shared" si="57"/>
        <v>5.730891330725639</v>
      </c>
      <c r="K352" s="98"/>
      <c r="L352" s="98"/>
      <c r="M352" s="252">
        <f>+M351/M$562*100</f>
        <v>5.620392750728321</v>
      </c>
      <c r="N352" s="99"/>
      <c r="O352" s="99"/>
      <c r="P352" s="130"/>
      <c r="Q352" s="130"/>
      <c r="R352" s="130"/>
      <c r="S352" s="130"/>
      <c r="T352" s="130"/>
    </row>
    <row r="353" spans="1:20" ht="16.5" customHeight="1" hidden="1">
      <c r="A353" s="84"/>
      <c r="B353" s="73">
        <v>4130</v>
      </c>
      <c r="C353" s="13"/>
      <c r="D353" s="14" t="s">
        <v>276</v>
      </c>
      <c r="E353" s="100" t="e">
        <f>+'fn 2004TP'!#REF!</f>
        <v>#REF!</v>
      </c>
      <c r="F353" s="66">
        <v>0</v>
      </c>
      <c r="G353" s="90" t="e">
        <f>+F353/E353*100</f>
        <v>#REF!</v>
      </c>
      <c r="H353" s="66"/>
      <c r="I353" s="90">
        <v>0</v>
      </c>
      <c r="J353" s="66">
        <v>0</v>
      </c>
      <c r="K353" s="246" t="e">
        <f>+J353/E353*100</f>
        <v>#REF!</v>
      </c>
      <c r="L353" s="246" t="e">
        <f>+K353/$L$26*100-100</f>
        <v>#REF!</v>
      </c>
      <c r="M353" s="66">
        <v>0</v>
      </c>
      <c r="N353" s="66"/>
      <c r="O353" s="66"/>
      <c r="P353" s="130"/>
      <c r="Q353" s="130"/>
      <c r="R353" s="130"/>
      <c r="S353" s="130"/>
      <c r="T353" s="130"/>
    </row>
    <row r="354" spans="1:20" ht="16.5" customHeight="1" hidden="1">
      <c r="A354" s="86"/>
      <c r="B354" s="74"/>
      <c r="C354" s="15"/>
      <c r="D354" s="16"/>
      <c r="E354" s="100" t="e">
        <f>+'fn 2004TP'!#REF!</f>
        <v>#REF!</v>
      </c>
      <c r="F354" s="89">
        <v>0</v>
      </c>
      <c r="G354" s="90" t="e">
        <f>+F354/E354*100</f>
        <v>#REF!</v>
      </c>
      <c r="H354" s="89"/>
      <c r="I354" s="90"/>
      <c r="J354" s="89"/>
      <c r="K354" s="246" t="e">
        <f>+J354/E354*100</f>
        <v>#REF!</v>
      </c>
      <c r="L354" s="246" t="e">
        <f>+K354/$L$26*100-100</f>
        <v>#REF!</v>
      </c>
      <c r="M354" s="89"/>
      <c r="N354" s="89"/>
      <c r="O354" s="89"/>
      <c r="P354" s="130"/>
      <c r="Q354" s="130"/>
      <c r="R354" s="130"/>
      <c r="S354" s="130"/>
      <c r="T354" s="130"/>
    </row>
    <row r="355" spans="1:20" ht="15">
      <c r="A355" s="86"/>
      <c r="B355" s="74"/>
      <c r="C355" s="15"/>
      <c r="D355" s="16"/>
      <c r="E355" s="100"/>
      <c r="F355" s="89"/>
      <c r="G355" s="90"/>
      <c r="H355" s="89"/>
      <c r="I355" s="91"/>
      <c r="J355" s="89"/>
      <c r="K355" s="246"/>
      <c r="L355" s="246"/>
      <c r="M355" s="89"/>
      <c r="N355" s="89"/>
      <c r="O355" s="89"/>
      <c r="P355" s="130"/>
      <c r="Q355" s="130"/>
      <c r="R355" s="130"/>
      <c r="S355" s="130"/>
      <c r="T355" s="130"/>
    </row>
    <row r="356" spans="1:20" ht="15.75">
      <c r="A356" s="84"/>
      <c r="B356" s="72">
        <v>4131</v>
      </c>
      <c r="C356" s="13"/>
      <c r="D356" s="9" t="s">
        <v>277</v>
      </c>
      <c r="E356" s="239">
        <f>+E357+E359</f>
        <v>627457.11778</v>
      </c>
      <c r="F356" s="239">
        <f>+F357+F359</f>
        <v>556114.861</v>
      </c>
      <c r="G356" s="90">
        <f>+F356/E356*100</f>
        <v>88.6299390415053</v>
      </c>
      <c r="H356" s="90">
        <f>+G356/H$26*100-100</f>
        <v>-16.70118511136721</v>
      </c>
      <c r="I356" s="239">
        <v>647760.996267684</v>
      </c>
      <c r="J356" s="91">
        <f>+J357+J359</f>
        <v>797452.675248</v>
      </c>
      <c r="K356" s="246">
        <f>+J356/E356*100</f>
        <v>127.09277696449752</v>
      </c>
      <c r="L356" s="246">
        <f>+K356/$L$26*100-100</f>
        <v>20.12549807608461</v>
      </c>
      <c r="M356" s="91">
        <f>+M357+M359</f>
        <v>857261.6258915999</v>
      </c>
      <c r="N356" s="90">
        <f>+M356/J356*100</f>
        <v>107.5</v>
      </c>
      <c r="O356" s="90">
        <f>+N356/O$26*100-100</f>
        <v>2.4785510009532885</v>
      </c>
      <c r="P356" s="130"/>
      <c r="Q356" s="130"/>
      <c r="R356" s="130"/>
      <c r="S356" s="130"/>
      <c r="T356" s="130"/>
    </row>
    <row r="357" spans="1:20" ht="15.75">
      <c r="A357" s="84"/>
      <c r="B357" s="74">
        <v>413110</v>
      </c>
      <c r="C357" s="10"/>
      <c r="D357" s="16" t="s">
        <v>278</v>
      </c>
      <c r="E357" s="100">
        <v>348770.59553</v>
      </c>
      <c r="F357" s="91">
        <v>319554.991</v>
      </c>
      <c r="G357" s="90">
        <f>+F357/E357*100</f>
        <v>91.62326041689286</v>
      </c>
      <c r="H357" s="90">
        <f>+G357/H$26*100-100</f>
        <v>-13.887913142017993</v>
      </c>
      <c r="I357" s="91">
        <v>332889.05785896</v>
      </c>
      <c r="J357" s="376">
        <f>+'[2]REALJAN-JUN,PROJ  (2)'!AR358</f>
        <v>443460.87512</v>
      </c>
      <c r="K357" s="246">
        <f>+J357/E357*100</f>
        <v>127.14973131439204</v>
      </c>
      <c r="L357" s="246">
        <f>+K357/$L$26*100-100</f>
        <v>20.179330164831796</v>
      </c>
      <c r="M357" s="66">
        <f>+J357*M$41/100</f>
        <v>476720.4407539999</v>
      </c>
      <c r="N357" s="90">
        <f>+M357/J357*100</f>
        <v>107.5</v>
      </c>
      <c r="O357" s="90">
        <f>+N357/O$26*100-100</f>
        <v>2.4785510009532885</v>
      </c>
      <c r="P357" s="130"/>
      <c r="Q357" s="130"/>
      <c r="R357" s="130"/>
      <c r="S357" s="130"/>
      <c r="T357" s="130"/>
    </row>
    <row r="358" spans="1:20" ht="15.75">
      <c r="A358" s="84"/>
      <c r="B358" s="74"/>
      <c r="C358" s="10"/>
      <c r="D358" s="16" t="s">
        <v>279</v>
      </c>
      <c r="E358" s="100"/>
      <c r="F358" s="66"/>
      <c r="G358" s="90"/>
      <c r="H358" s="90"/>
      <c r="I358" s="91"/>
      <c r="J358" s="376"/>
      <c r="K358" s="246"/>
      <c r="L358" s="246"/>
      <c r="M358" s="66"/>
      <c r="N358" s="90"/>
      <c r="O358" s="90"/>
      <c r="P358" s="130"/>
      <c r="Q358" s="130"/>
      <c r="R358" s="130"/>
      <c r="S358" s="130"/>
      <c r="T358" s="130"/>
    </row>
    <row r="359" spans="1:20" ht="15.75">
      <c r="A359" s="84"/>
      <c r="B359" s="74">
        <v>413111</v>
      </c>
      <c r="C359" s="10"/>
      <c r="D359" s="16" t="s">
        <v>280</v>
      </c>
      <c r="E359" s="100">
        <v>278686.52225</v>
      </c>
      <c r="F359" s="91">
        <v>236559.87</v>
      </c>
      <c r="G359" s="90">
        <f>+F359/E359*100</f>
        <v>84.88385734986868</v>
      </c>
      <c r="H359" s="90">
        <f>+G359/H$26*100-100</f>
        <v>-20.221938580950493</v>
      </c>
      <c r="I359" s="91">
        <v>314871.938408724</v>
      </c>
      <c r="J359" s="376">
        <f>+'[2]REALJAN-JUN,PROJ  (2)'!AR360</f>
        <v>353991.800128</v>
      </c>
      <c r="K359" s="246">
        <f>+J359/E359*100</f>
        <v>127.02149973741687</v>
      </c>
      <c r="L359" s="246">
        <f>+K359/$L$26*100-100</f>
        <v>20.05812829623524</v>
      </c>
      <c r="M359" s="66">
        <f>+J359*M$41/100</f>
        <v>380541.1851376</v>
      </c>
      <c r="N359" s="90">
        <f>+M359/J359*100</f>
        <v>107.50000000000001</v>
      </c>
      <c r="O359" s="90">
        <f>+N359/O$26*100-100</f>
        <v>2.4785510009532885</v>
      </c>
      <c r="P359" s="130"/>
      <c r="Q359" s="130"/>
      <c r="R359" s="130"/>
      <c r="S359" s="130"/>
      <c r="T359" s="130"/>
    </row>
    <row r="360" spans="1:20" ht="15.75">
      <c r="A360" s="84"/>
      <c r="B360" s="74"/>
      <c r="C360" s="10"/>
      <c r="D360" s="16" t="s">
        <v>281</v>
      </c>
      <c r="E360" s="100"/>
      <c r="F360" s="66"/>
      <c r="G360" s="90"/>
      <c r="H360" s="90"/>
      <c r="I360" s="91"/>
      <c r="J360" s="66"/>
      <c r="K360" s="246"/>
      <c r="L360" s="246"/>
      <c r="M360" s="66"/>
      <c r="N360" s="90"/>
      <c r="O360" s="90"/>
      <c r="P360" s="130"/>
      <c r="Q360" s="130"/>
      <c r="R360" s="130"/>
      <c r="S360" s="130"/>
      <c r="T360" s="130"/>
    </row>
    <row r="361" spans="1:20" ht="15">
      <c r="A361" s="84"/>
      <c r="B361" s="73"/>
      <c r="C361" s="13"/>
      <c r="D361" s="40"/>
      <c r="E361" s="66"/>
      <c r="F361" s="66"/>
      <c r="G361" s="66"/>
      <c r="H361" s="66"/>
      <c r="I361" s="66"/>
      <c r="J361" s="66"/>
      <c r="K361" s="246"/>
      <c r="L361" s="246"/>
      <c r="M361" s="66"/>
      <c r="N361" s="90"/>
      <c r="O361" s="90"/>
      <c r="P361" s="130"/>
      <c r="Q361" s="130"/>
      <c r="R361" s="130"/>
      <c r="S361" s="130"/>
      <c r="T361" s="130"/>
    </row>
    <row r="362" spans="1:20" ht="16.5" customHeight="1" hidden="1">
      <c r="A362" s="86"/>
      <c r="B362" s="74"/>
      <c r="C362" s="10"/>
      <c r="D362" s="11"/>
      <c r="E362" s="100" t="e">
        <f>+'fn 2004TP'!#REF!</f>
        <v>#REF!</v>
      </c>
      <c r="F362" s="89">
        <v>0</v>
      </c>
      <c r="G362" s="90" t="e">
        <f>+F362/E362*100</f>
        <v>#REF!</v>
      </c>
      <c r="H362" s="89"/>
      <c r="I362" s="91"/>
      <c r="J362" s="89"/>
      <c r="K362" s="246" t="e">
        <f>+J362/E362*100</f>
        <v>#REF!</v>
      </c>
      <c r="L362" s="246" t="e">
        <f>+K362/$L$26*100-100</f>
        <v>#REF!</v>
      </c>
      <c r="M362" s="89"/>
      <c r="N362" s="89"/>
      <c r="O362" s="89"/>
      <c r="P362" s="130"/>
      <c r="Q362" s="130"/>
      <c r="R362" s="130"/>
      <c r="S362" s="130"/>
      <c r="T362" s="130"/>
    </row>
    <row r="363" spans="1:20" ht="16.5" customHeight="1" hidden="1">
      <c r="A363" s="84"/>
      <c r="B363" s="73">
        <v>4132</v>
      </c>
      <c r="C363" s="13"/>
      <c r="D363" s="14" t="s">
        <v>282</v>
      </c>
      <c r="E363" s="100" t="e">
        <f>+'fn 2004TP'!#REF!</f>
        <v>#REF!</v>
      </c>
      <c r="F363" s="66">
        <v>0</v>
      </c>
      <c r="G363" s="90" t="e">
        <f>+F363/E363*100</f>
        <v>#REF!</v>
      </c>
      <c r="H363" s="66"/>
      <c r="I363" s="91">
        <v>0</v>
      </c>
      <c r="J363" s="66">
        <v>0</v>
      </c>
      <c r="K363" s="246" t="e">
        <f>+J363/E363*100</f>
        <v>#REF!</v>
      </c>
      <c r="L363" s="246" t="e">
        <f>+K363/$L$26*100-100</f>
        <v>#REF!</v>
      </c>
      <c r="M363" s="66">
        <v>0</v>
      </c>
      <c r="N363" s="66"/>
      <c r="O363" s="66"/>
      <c r="P363" s="130"/>
      <c r="Q363" s="130"/>
      <c r="R363" s="130"/>
      <c r="S363" s="130"/>
      <c r="T363" s="130"/>
    </row>
    <row r="364" spans="1:20" ht="16.5" customHeight="1" hidden="1">
      <c r="A364" s="86"/>
      <c r="B364" s="74"/>
      <c r="C364" s="15"/>
      <c r="D364" s="16"/>
      <c r="E364" s="100" t="e">
        <f>+'fn 2004TP'!#REF!</f>
        <v>#REF!</v>
      </c>
      <c r="F364" s="89">
        <v>0</v>
      </c>
      <c r="G364" s="90" t="e">
        <f>+F364/E364*100</f>
        <v>#REF!</v>
      </c>
      <c r="H364" s="89"/>
      <c r="I364" s="91"/>
      <c r="J364" s="89"/>
      <c r="K364" s="246" t="e">
        <f>+J364/E364*100</f>
        <v>#REF!</v>
      </c>
      <c r="L364" s="246" t="e">
        <f>+K364/$L$26*100-100</f>
        <v>#REF!</v>
      </c>
      <c r="M364" s="89"/>
      <c r="N364" s="89"/>
      <c r="O364" s="89"/>
      <c r="P364" s="130"/>
      <c r="Q364" s="130"/>
      <c r="R364" s="130"/>
      <c r="S364" s="130"/>
      <c r="T364" s="130"/>
    </row>
    <row r="365" spans="1:20" ht="15.75">
      <c r="A365" s="84"/>
      <c r="B365" s="72">
        <v>4133</v>
      </c>
      <c r="C365" s="8"/>
      <c r="D365" s="9" t="s">
        <v>283</v>
      </c>
      <c r="E365" s="101">
        <f>E368+E382+E396+E418+E420+E422</f>
        <v>297860071.61786</v>
      </c>
      <c r="F365" s="101">
        <f>F368+F382+F396+F418+F420+F422</f>
        <v>296580649.79159445</v>
      </c>
      <c r="G365" s="90">
        <f>+F365/E365*100</f>
        <v>99.57046212360177</v>
      </c>
      <c r="H365" s="90">
        <f>+G365/H$26*100-100</f>
        <v>-6.418738605637444</v>
      </c>
      <c r="I365" s="101">
        <v>323049373.1408115</v>
      </c>
      <c r="J365" s="101">
        <f>J368+J382+J396+J418+J420+J422</f>
        <v>325700898.37514377</v>
      </c>
      <c r="K365" s="246">
        <f>+J365/E365*100</f>
        <v>109.34694825193026</v>
      </c>
      <c r="L365" s="246">
        <f>+K365/$L$26*100-100</f>
        <v>3.3525030736580845</v>
      </c>
      <c r="M365" s="101">
        <f>M368+M382+M396+M418+M420+M422+M423</f>
        <v>346856897.28600013</v>
      </c>
      <c r="N365" s="90">
        <f>+M365/J365*100</f>
        <v>106.49552979939551</v>
      </c>
      <c r="O365" s="90">
        <f>+N365/O$26*100-100</f>
        <v>1.5210007620548112</v>
      </c>
      <c r="P365" s="130"/>
      <c r="Q365" s="130"/>
      <c r="R365" s="130"/>
      <c r="S365" s="130"/>
      <c r="T365" s="130"/>
    </row>
    <row r="366" spans="1:20" ht="15.75">
      <c r="A366" s="84"/>
      <c r="B366" s="253"/>
      <c r="C366" s="166"/>
      <c r="D366" s="251" t="s">
        <v>48</v>
      </c>
      <c r="E366" s="310">
        <f aca="true" t="shared" si="58" ref="E366:J366">+E365/E562*100</f>
        <v>5.636484345785156</v>
      </c>
      <c r="F366" s="310">
        <f t="shared" si="58"/>
        <v>5.878704653946372</v>
      </c>
      <c r="G366" s="310">
        <f t="shared" si="58"/>
        <v>104.29736504710321</v>
      </c>
      <c r="H366" s="310" t="e">
        <f t="shared" si="58"/>
        <v>#DIV/0!</v>
      </c>
      <c r="I366" s="310">
        <f t="shared" si="58"/>
        <v>5.8575433471888365</v>
      </c>
      <c r="J366" s="310">
        <f t="shared" si="58"/>
        <v>5.71675878705955</v>
      </c>
      <c r="K366" s="98"/>
      <c r="L366" s="98"/>
      <c r="M366" s="252">
        <f>+M365/M$562*100</f>
        <v>5.606402296599213</v>
      </c>
      <c r="N366" s="99"/>
      <c r="O366" s="99"/>
      <c r="P366" s="130"/>
      <c r="Q366" s="130"/>
      <c r="R366" s="130"/>
      <c r="S366" s="130"/>
      <c r="T366" s="130"/>
    </row>
    <row r="367" spans="1:20" ht="15.75">
      <c r="A367" s="84"/>
      <c r="B367" s="420"/>
      <c r="C367" s="421"/>
      <c r="D367" s="422" t="s">
        <v>284</v>
      </c>
      <c r="E367" s="423">
        <f aca="true" t="shared" si="59" ref="E367:J367">+E368+E382+E396</f>
        <v>240082354.79937</v>
      </c>
      <c r="F367" s="423">
        <f t="shared" si="59"/>
        <v>240117489.73106712</v>
      </c>
      <c r="G367" s="423">
        <f t="shared" si="59"/>
        <v>298.3003550466807</v>
      </c>
      <c r="H367" s="423">
        <f t="shared" si="59"/>
        <v>-19.64252345236777</v>
      </c>
      <c r="I367" s="423">
        <f t="shared" si="59"/>
        <v>259476960.2672958</v>
      </c>
      <c r="J367" s="423">
        <f t="shared" si="59"/>
        <v>262052879.38990977</v>
      </c>
      <c r="K367" s="246">
        <f aca="true" t="shared" si="60" ref="K367:K374">+J367/E367*100</f>
        <v>109.15124504210229</v>
      </c>
      <c r="L367" s="246">
        <f aca="true" t="shared" si="61" ref="L367:L374">+K367/$L$26*100-100</f>
        <v>3.1675283951817477</v>
      </c>
      <c r="M367" s="424">
        <f>+M368+M382+M396+M423</f>
        <v>278860002.72911537</v>
      </c>
      <c r="N367" s="90">
        <f>+M367/J367*100</f>
        <v>106.41363810935205</v>
      </c>
      <c r="O367" s="90">
        <f>+N367/O$26*100-100</f>
        <v>1.4429343273136794</v>
      </c>
      <c r="P367" s="130"/>
      <c r="Q367" s="130"/>
      <c r="R367" s="130"/>
      <c r="S367" s="130"/>
      <c r="T367" s="130"/>
    </row>
    <row r="368" spans="1:20" ht="15.75">
      <c r="A368" s="86"/>
      <c r="B368" s="74">
        <v>413300</v>
      </c>
      <c r="C368" s="10"/>
      <c r="D368" s="11" t="s">
        <v>285</v>
      </c>
      <c r="E368" s="332">
        <f>SUM(E376:E380)</f>
        <v>120162899.17372999</v>
      </c>
      <c r="F368" s="101">
        <f>SUM(F376:F380)</f>
        <v>115481605.199</v>
      </c>
      <c r="G368" s="90">
        <f aca="true" t="shared" si="62" ref="G368:G374">+F368/E368*100</f>
        <v>96.10421019555976</v>
      </c>
      <c r="H368" s="90">
        <f>+G368/H$26*100-100</f>
        <v>-9.676494177105496</v>
      </c>
      <c r="I368" s="101">
        <v>133098766.71728</v>
      </c>
      <c r="J368" s="101">
        <f>SUM(J376:J380)</f>
        <v>128799698</v>
      </c>
      <c r="K368" s="246">
        <f t="shared" si="60"/>
        <v>107.18757527128489</v>
      </c>
      <c r="L368" s="246">
        <f t="shared" si="61"/>
        <v>1.3115078178496162</v>
      </c>
      <c r="M368" s="101">
        <f>SUM(M376:M380)</f>
        <v>135021693.5474</v>
      </c>
      <c r="N368" s="90">
        <f>+M368/J368*100</f>
        <v>104.83075321139339</v>
      </c>
      <c r="O368" s="90">
        <f>+N368/O$26*100-100</f>
        <v>-0.06601219123605517</v>
      </c>
      <c r="P368" s="130"/>
      <c r="Q368" s="130"/>
      <c r="R368" s="130"/>
      <c r="S368" s="130"/>
      <c r="T368" s="130"/>
    </row>
    <row r="369" spans="1:20" ht="16.5" customHeight="1" hidden="1">
      <c r="A369" s="86"/>
      <c r="B369" s="78"/>
      <c r="C369" s="10"/>
      <c r="D369" s="11" t="s">
        <v>286</v>
      </c>
      <c r="E369" s="100" t="e">
        <f>+'fn 2004TP'!#REF!</f>
        <v>#REF!</v>
      </c>
      <c r="F369" s="89">
        <v>0</v>
      </c>
      <c r="G369" s="90" t="e">
        <f t="shared" si="62"/>
        <v>#REF!</v>
      </c>
      <c r="H369" s="89"/>
      <c r="I369" s="91"/>
      <c r="J369" s="89"/>
      <c r="K369" s="246" t="e">
        <f t="shared" si="60"/>
        <v>#REF!</v>
      </c>
      <c r="L369" s="246" t="e">
        <f t="shared" si="61"/>
        <v>#REF!</v>
      </c>
      <c r="M369" s="89"/>
      <c r="N369" s="89"/>
      <c r="O369" s="89"/>
      <c r="P369" s="130"/>
      <c r="Q369" s="130"/>
      <c r="R369" s="130"/>
      <c r="S369" s="130"/>
      <c r="T369" s="130"/>
    </row>
    <row r="370" spans="1:20" ht="16.5" customHeight="1" hidden="1">
      <c r="A370" s="86"/>
      <c r="B370" s="79" t="s">
        <v>287</v>
      </c>
      <c r="C370" s="15"/>
      <c r="D370" s="16" t="s">
        <v>288</v>
      </c>
      <c r="E370" s="100" t="e">
        <f>+'fn 2004TP'!#REF!</f>
        <v>#REF!</v>
      </c>
      <c r="F370" s="89">
        <v>0</v>
      </c>
      <c r="G370" s="90" t="e">
        <f t="shared" si="62"/>
        <v>#REF!</v>
      </c>
      <c r="H370" s="89"/>
      <c r="I370" s="91"/>
      <c r="J370" s="89"/>
      <c r="K370" s="246" t="e">
        <f t="shared" si="60"/>
        <v>#REF!</v>
      </c>
      <c r="L370" s="246" t="e">
        <f t="shared" si="61"/>
        <v>#REF!</v>
      </c>
      <c r="M370" s="89"/>
      <c r="N370" s="89"/>
      <c r="O370" s="89"/>
      <c r="P370" s="130"/>
      <c r="Q370" s="130"/>
      <c r="R370" s="130"/>
      <c r="S370" s="130"/>
      <c r="T370" s="130"/>
    </row>
    <row r="371" spans="1:20" ht="16.5" customHeight="1" hidden="1">
      <c r="A371" s="86"/>
      <c r="B371" s="79" t="s">
        <v>289</v>
      </c>
      <c r="C371" s="15"/>
      <c r="D371" s="16" t="s">
        <v>290</v>
      </c>
      <c r="E371" s="100" t="e">
        <f>+'fn 2004TP'!#REF!</f>
        <v>#REF!</v>
      </c>
      <c r="F371" s="89">
        <v>0</v>
      </c>
      <c r="G371" s="90" t="e">
        <f t="shared" si="62"/>
        <v>#REF!</v>
      </c>
      <c r="H371" s="89"/>
      <c r="I371" s="91"/>
      <c r="J371" s="89"/>
      <c r="K371" s="246" t="e">
        <f t="shared" si="60"/>
        <v>#REF!</v>
      </c>
      <c r="L371" s="246" t="e">
        <f t="shared" si="61"/>
        <v>#REF!</v>
      </c>
      <c r="M371" s="89"/>
      <c r="N371" s="89"/>
      <c r="O371" s="89"/>
      <c r="P371" s="130"/>
      <c r="Q371" s="130"/>
      <c r="R371" s="130"/>
      <c r="S371" s="130"/>
      <c r="T371" s="130"/>
    </row>
    <row r="372" spans="1:20" ht="16.5" customHeight="1" hidden="1">
      <c r="A372" s="86"/>
      <c r="B372" s="80" t="s">
        <v>291</v>
      </c>
      <c r="C372" s="15"/>
      <c r="D372" s="16" t="s">
        <v>292</v>
      </c>
      <c r="E372" s="100" t="e">
        <f>+'fn 2004TP'!#REF!</f>
        <v>#REF!</v>
      </c>
      <c r="F372" s="89">
        <v>0</v>
      </c>
      <c r="G372" s="90" t="e">
        <f t="shared" si="62"/>
        <v>#REF!</v>
      </c>
      <c r="H372" s="89"/>
      <c r="I372" s="91"/>
      <c r="J372" s="89"/>
      <c r="K372" s="246" t="e">
        <f t="shared" si="60"/>
        <v>#REF!</v>
      </c>
      <c r="L372" s="246" t="e">
        <f t="shared" si="61"/>
        <v>#REF!</v>
      </c>
      <c r="M372" s="89"/>
      <c r="N372" s="89"/>
      <c r="O372" s="89"/>
      <c r="P372" s="130"/>
      <c r="Q372" s="130"/>
      <c r="R372" s="130"/>
      <c r="S372" s="130"/>
      <c r="T372" s="130"/>
    </row>
    <row r="373" spans="1:20" ht="16.5" customHeight="1" hidden="1">
      <c r="A373" s="86"/>
      <c r="B373" s="80" t="s">
        <v>293</v>
      </c>
      <c r="C373" s="15"/>
      <c r="D373" s="16" t="s">
        <v>294</v>
      </c>
      <c r="E373" s="100" t="e">
        <f>+'fn 2004TP'!#REF!</f>
        <v>#REF!</v>
      </c>
      <c r="F373" s="89">
        <v>0</v>
      </c>
      <c r="G373" s="90" t="e">
        <f t="shared" si="62"/>
        <v>#REF!</v>
      </c>
      <c r="H373" s="89"/>
      <c r="I373" s="91"/>
      <c r="J373" s="89"/>
      <c r="K373" s="246" t="e">
        <f t="shared" si="60"/>
        <v>#REF!</v>
      </c>
      <c r="L373" s="246" t="e">
        <f t="shared" si="61"/>
        <v>#REF!</v>
      </c>
      <c r="M373" s="89"/>
      <c r="N373" s="89"/>
      <c r="O373" s="89"/>
      <c r="P373" s="130"/>
      <c r="Q373" s="130"/>
      <c r="R373" s="130"/>
      <c r="S373" s="130"/>
      <c r="T373" s="130"/>
    </row>
    <row r="374" spans="1:20" ht="16.5" customHeight="1" hidden="1">
      <c r="A374" s="86"/>
      <c r="B374" s="80" t="s">
        <v>295</v>
      </c>
      <c r="C374" s="15"/>
      <c r="D374" s="50" t="s">
        <v>296</v>
      </c>
      <c r="E374" s="100" t="e">
        <f>+'fn 2004TP'!#REF!</f>
        <v>#REF!</v>
      </c>
      <c r="F374" s="89">
        <v>0</v>
      </c>
      <c r="G374" s="90" t="e">
        <f t="shared" si="62"/>
        <v>#REF!</v>
      </c>
      <c r="H374" s="89"/>
      <c r="I374" s="91"/>
      <c r="J374" s="89"/>
      <c r="K374" s="246" t="e">
        <f t="shared" si="60"/>
        <v>#REF!</v>
      </c>
      <c r="L374" s="246" t="e">
        <f t="shared" si="61"/>
        <v>#REF!</v>
      </c>
      <c r="M374" s="89"/>
      <c r="N374" s="89"/>
      <c r="O374" s="89"/>
      <c r="P374" s="130"/>
      <c r="Q374" s="130"/>
      <c r="R374" s="130"/>
      <c r="S374" s="130"/>
      <c r="T374" s="130"/>
    </row>
    <row r="375" spans="1:20" ht="15">
      <c r="A375" s="86"/>
      <c r="B375" s="80"/>
      <c r="C375" s="15"/>
      <c r="D375" s="62"/>
      <c r="F375" s="89">
        <v>3026005</v>
      </c>
      <c r="G375" s="90"/>
      <c r="H375" s="89"/>
      <c r="I375" s="91"/>
      <c r="J375" s="89"/>
      <c r="K375" s="246"/>
      <c r="L375" s="246"/>
      <c r="M375" s="89"/>
      <c r="N375" s="89"/>
      <c r="O375" s="89"/>
      <c r="P375" s="130"/>
      <c r="Q375" s="130"/>
      <c r="R375" s="130"/>
      <c r="S375" s="130"/>
      <c r="T375" s="130"/>
    </row>
    <row r="376" spans="1:20" ht="15">
      <c r="A376" s="86"/>
      <c r="B376" s="51">
        <v>41330001</v>
      </c>
      <c r="C376" s="58"/>
      <c r="D376" s="56" t="s">
        <v>288</v>
      </c>
      <c r="E376" s="100">
        <f>25863534.75182+9595379.42645+1676483.41494</f>
        <v>37135397.59321</v>
      </c>
      <c r="F376" s="66">
        <v>36908196.632999994</v>
      </c>
      <c r="G376" s="90">
        <f>+F376/E376*100</f>
        <v>99.38818223329984</v>
      </c>
      <c r="H376" s="90">
        <f>+G376/H$26*100-100</f>
        <v>-6.5900542920114304</v>
      </c>
      <c r="I376" s="309">
        <v>41950635.822399996</v>
      </c>
      <c r="J376" s="376">
        <f>+'[2]REALJAN-JUN,PROJ  (2)'!AR376</f>
        <v>40588222</v>
      </c>
      <c r="K376" s="246">
        <f>+J376/E376*100</f>
        <v>109.29793305194431</v>
      </c>
      <c r="L376" s="246">
        <f>+K376/$L$26*100-100</f>
        <v>3.3061749073197717</v>
      </c>
      <c r="M376" s="89">
        <f>+J376*$M$33/100+158040+215700</f>
        <v>42232373.3486</v>
      </c>
      <c r="N376" s="90">
        <f>+M376/J376*100</f>
        <v>104.05080899725047</v>
      </c>
      <c r="O376" s="90">
        <f>+N376/O$26*100-100</f>
        <v>-0.8095243114866832</v>
      </c>
      <c r="P376" s="130"/>
      <c r="Q376" s="130"/>
      <c r="R376" s="130"/>
      <c r="S376" s="130"/>
      <c r="T376" s="130"/>
    </row>
    <row r="377" spans="1:20" ht="15">
      <c r="A377" s="86"/>
      <c r="B377" s="51">
        <v>41330002</v>
      </c>
      <c r="C377" s="58"/>
      <c r="D377" s="56" t="s">
        <v>290</v>
      </c>
      <c r="E377" s="100">
        <f>16579904.78973+50107923.836</f>
        <v>66687828.62573</v>
      </c>
      <c r="F377" s="66">
        <v>63305180.425</v>
      </c>
      <c r="G377" s="90">
        <f>+F377/E377*100</f>
        <v>94.92763781571847</v>
      </c>
      <c r="H377" s="90">
        <f>+G377/H$26*100-100</f>
        <v>-10.782295285978876</v>
      </c>
      <c r="I377" s="309">
        <v>72268530.29036799</v>
      </c>
      <c r="J377" s="376">
        <f>+'[2]REALJAN-JUN,PROJ  (2)'!AR377</f>
        <v>70729636</v>
      </c>
      <c r="K377" s="246">
        <f>+J377/E377*100</f>
        <v>106.06078718944907</v>
      </c>
      <c r="L377" s="246">
        <f>+K377/$L$26*100-100</f>
        <v>0.24649072726757026</v>
      </c>
      <c r="M377" s="89">
        <f>+J377*$M$33/100+229550+1001100+658285</f>
        <v>74832408.60679999</v>
      </c>
      <c r="N377" s="90">
        <f>+M377/J377*100</f>
        <v>105.80064148329562</v>
      </c>
      <c r="O377" s="90">
        <f>+N377/O$26*100-100</f>
        <v>0.8585714807393856</v>
      </c>
      <c r="P377" s="130"/>
      <c r="Q377" s="130"/>
      <c r="R377" s="130"/>
      <c r="S377" s="130"/>
      <c r="T377" s="130"/>
    </row>
    <row r="378" spans="1:20" ht="15">
      <c r="A378" s="86"/>
      <c r="B378" s="51">
        <v>41330003</v>
      </c>
      <c r="C378" s="58"/>
      <c r="D378" s="56" t="s">
        <v>292</v>
      </c>
      <c r="E378" s="100">
        <v>1704055.35688</v>
      </c>
      <c r="F378" s="66">
        <v>1453855.4309999999</v>
      </c>
      <c r="G378" s="90">
        <f>+F378/E378*100</f>
        <v>85.31738274406192</v>
      </c>
      <c r="H378" s="90">
        <f>+G378/H$26*100-100</f>
        <v>-19.81448990219745</v>
      </c>
      <c r="I378" s="309">
        <v>2023220.98096</v>
      </c>
      <c r="J378" s="376">
        <f>+'[2]REALJAN-JUN,PROJ  (2)'!AR378</f>
        <v>2066327</v>
      </c>
      <c r="K378" s="246">
        <f>+J378/E378*100</f>
        <v>121.25938231157541</v>
      </c>
      <c r="L378" s="246">
        <f>+K378/$L$26*100-100</f>
        <v>14.611892544022126</v>
      </c>
      <c r="M378" s="89">
        <f>+J378*$M$33/100+7840</f>
        <v>2138843.0351</v>
      </c>
      <c r="N378" s="90">
        <f>+M378/J378*100</f>
        <v>103.509417197762</v>
      </c>
      <c r="O378" s="90">
        <f>+N378/O$26*100-100</f>
        <v>-1.3256270755367012</v>
      </c>
      <c r="P378" s="130"/>
      <c r="Q378" s="130" t="s">
        <v>297</v>
      </c>
      <c r="R378" s="130"/>
      <c r="S378" s="130"/>
      <c r="T378" s="130"/>
    </row>
    <row r="379" spans="1:20" ht="15">
      <c r="A379" s="86"/>
      <c r="B379" s="51">
        <v>41330004</v>
      </c>
      <c r="C379" s="58"/>
      <c r="D379" s="56" t="s">
        <v>294</v>
      </c>
      <c r="E379" s="100">
        <v>3553176.74085</v>
      </c>
      <c r="F379" s="66">
        <v>3395975.6259999997</v>
      </c>
      <c r="G379" s="90">
        <f>+F379/E379*100</f>
        <v>95.57575864316858</v>
      </c>
      <c r="H379" s="90">
        <f>+G379/H$26*100-100</f>
        <v>-10.173159169954346</v>
      </c>
      <c r="I379" s="309">
        <v>4032890.1641279995</v>
      </c>
      <c r="J379" s="376">
        <f>+'[2]REALJAN-JUN,PROJ  (2)'!AR379</f>
        <v>3557824</v>
      </c>
      <c r="K379" s="246">
        <f>+J379/E379*100</f>
        <v>100.13079166866572</v>
      </c>
      <c r="L379" s="246">
        <f>+K379/$L$26*100-100</f>
        <v>-5.358419972905736</v>
      </c>
      <c r="M379" s="89">
        <f>+J379*$M$33/100+11090</f>
        <v>3680273.8912</v>
      </c>
      <c r="N379" s="90">
        <f>+M379/J379*100</f>
        <v>103.44170738069111</v>
      </c>
      <c r="O379" s="90">
        <f>+N379/O$26*100-100</f>
        <v>-1.3901740889503174</v>
      </c>
      <c r="P379" s="130"/>
      <c r="Q379" s="130"/>
      <c r="R379" s="130"/>
      <c r="S379" s="130">
        <v>200000</v>
      </c>
      <c r="T379" s="130"/>
    </row>
    <row r="380" spans="1:20" ht="15.75">
      <c r="A380" s="86"/>
      <c r="B380" s="51">
        <v>41330005</v>
      </c>
      <c r="C380" s="58"/>
      <c r="D380" s="56" t="s">
        <v>296</v>
      </c>
      <c r="E380" s="100">
        <f>3639930.69542+7442510.16164</f>
        <v>11082440.85706</v>
      </c>
      <c r="F380" s="66">
        <v>10418397.083999999</v>
      </c>
      <c r="G380" s="90">
        <f>+F380/E380*100</f>
        <v>94.00814512231774</v>
      </c>
      <c r="H380" s="90">
        <f>+G380/H$26*100-100</f>
        <v>-11.646480148197611</v>
      </c>
      <c r="I380" s="309">
        <v>12823489.459424</v>
      </c>
      <c r="J380" s="376">
        <f>+'[2]REALJAN-JUN,PROJ  (2)'!AR380</f>
        <v>11857689</v>
      </c>
      <c r="K380" s="246">
        <f>+J380/E380*100</f>
        <v>106.99528337609969</v>
      </c>
      <c r="L380" s="246">
        <f>+K380/$L$26*100-100</f>
        <v>1.1297574443286322</v>
      </c>
      <c r="M380" s="89">
        <f>+J380*$M$33/100+40620-131660</f>
        <v>12137794.6657</v>
      </c>
      <c r="N380" s="90">
        <f>+M380/J380*100</f>
        <v>102.36222813484146</v>
      </c>
      <c r="O380" s="90">
        <f>+N380/O$26*100-100</f>
        <v>-2.4192296140691667</v>
      </c>
      <c r="P380" s="130"/>
      <c r="Q380" s="448">
        <f>+M380</f>
        <v>12137794.6657</v>
      </c>
      <c r="R380" s="452">
        <f>+Q380/Q389*100</f>
        <v>65.76339737257591</v>
      </c>
      <c r="S380" s="457">
        <f>+S379*0.6583</f>
        <v>131660</v>
      </c>
      <c r="T380" s="130"/>
    </row>
    <row r="381" spans="1:20" ht="15.75">
      <c r="A381" s="86"/>
      <c r="B381" s="253"/>
      <c r="C381" s="166"/>
      <c r="D381" s="255" t="s">
        <v>48</v>
      </c>
      <c r="E381" s="252">
        <f>+E368/E$562*100</f>
        <v>2.2738740928184136</v>
      </c>
      <c r="F381" s="252">
        <v>2.3073247792007994</v>
      </c>
      <c r="G381" s="98"/>
      <c r="H381" s="99"/>
      <c r="I381" s="252">
        <f>+I368/I$562*100</f>
        <v>2.4133518289293034</v>
      </c>
      <c r="J381" s="252">
        <f>+J368/J$562*100</f>
        <v>2.260714689414284</v>
      </c>
      <c r="K381" s="98"/>
      <c r="L381" s="98"/>
      <c r="M381" s="252">
        <f>+M368/M$562*100</f>
        <v>2.1824156841565916</v>
      </c>
      <c r="N381" s="99"/>
      <c r="O381" s="99"/>
      <c r="P381" s="130"/>
      <c r="Q381" s="448">
        <f>+M394</f>
        <v>2586107.0063</v>
      </c>
      <c r="R381" s="452">
        <f>+Q381/Q389*100</f>
        <v>14.011703722745535</v>
      </c>
      <c r="S381" s="457">
        <f>+S379*0.1403-20</f>
        <v>28040</v>
      </c>
      <c r="T381" s="130"/>
    </row>
    <row r="382" spans="1:20" ht="15.75">
      <c r="A382" s="86"/>
      <c r="B382" s="74">
        <v>413301</v>
      </c>
      <c r="C382" s="10"/>
      <c r="D382" s="11" t="s">
        <v>298</v>
      </c>
      <c r="E382" s="109">
        <f>SUM(E390:E394)</f>
        <v>26070228.69912</v>
      </c>
      <c r="F382" s="109">
        <f>SUM(F390:F394)</f>
        <v>25048880.685077403</v>
      </c>
      <c r="G382" s="90">
        <f aca="true" t="shared" si="63" ref="G382:G388">+F382/E382*100</f>
        <v>96.08232046665141</v>
      </c>
      <c r="H382" s="90">
        <f>+G382/H$26*100-100</f>
        <v>-9.69706723059079</v>
      </c>
      <c r="I382" s="109">
        <v>28476787.799422957</v>
      </c>
      <c r="J382" s="109">
        <f>SUM(J390:J394)</f>
        <v>27818819</v>
      </c>
      <c r="K382" s="246">
        <f aca="true" t="shared" si="64" ref="K382:K388">+J382/E382*100</f>
        <v>106.7072303855126</v>
      </c>
      <c r="L382" s="246">
        <f aca="true" t="shared" si="65" ref="L382:L388">+K382/$L$26*100-100</f>
        <v>0.8574956384807138</v>
      </c>
      <c r="M382" s="109">
        <f>SUM(M390:M394)</f>
        <v>29084648.0347</v>
      </c>
      <c r="N382" s="90">
        <f>+M382/J382*100</f>
        <v>104.55026158623053</v>
      </c>
      <c r="O382" s="90">
        <f>+N382/O$26*100-100</f>
        <v>-0.3334017290462157</v>
      </c>
      <c r="P382" s="130"/>
      <c r="Q382" s="449">
        <f>+M409</f>
        <v>3732861.741444936</v>
      </c>
      <c r="R382" s="452">
        <f>+Q382/Q389*100</f>
        <v>20.224898904678547</v>
      </c>
      <c r="S382" s="457">
        <f>+S379*0.2015</f>
        <v>40300</v>
      </c>
      <c r="T382" s="130"/>
    </row>
    <row r="383" spans="1:20" ht="16.5" customHeight="1" hidden="1">
      <c r="A383" s="86"/>
      <c r="B383" s="78"/>
      <c r="C383" s="10"/>
      <c r="D383" s="11" t="s">
        <v>286</v>
      </c>
      <c r="E383" s="100" t="e">
        <f>+'fn 2004TP'!#REF!</f>
        <v>#REF!</v>
      </c>
      <c r="F383" s="89">
        <v>0</v>
      </c>
      <c r="G383" s="90" t="e">
        <f t="shared" si="63"/>
        <v>#REF!</v>
      </c>
      <c r="H383" s="89"/>
      <c r="I383" s="309"/>
      <c r="J383" s="89"/>
      <c r="K383" s="246" t="e">
        <f t="shared" si="64"/>
        <v>#REF!</v>
      </c>
      <c r="L383" s="246" t="e">
        <f t="shared" si="65"/>
        <v>#REF!</v>
      </c>
      <c r="M383" s="89"/>
      <c r="N383" s="89"/>
      <c r="O383" s="89"/>
      <c r="P383" s="130"/>
      <c r="Q383" s="449">
        <f>1715000-1000000</f>
        <v>715000</v>
      </c>
      <c r="R383" s="453">
        <v>0.4247</v>
      </c>
      <c r="S383" s="455">
        <f>+R383*Q383</f>
        <v>303660.5</v>
      </c>
      <c r="T383" s="130"/>
    </row>
    <row r="384" spans="1:20" ht="16.5" customHeight="1" hidden="1">
      <c r="A384" s="86"/>
      <c r="B384" s="80" t="s">
        <v>287</v>
      </c>
      <c r="C384" s="15"/>
      <c r="D384" s="16" t="s">
        <v>299</v>
      </c>
      <c r="E384" s="100" t="e">
        <f>+'fn 2004TP'!#REF!</f>
        <v>#REF!</v>
      </c>
      <c r="F384" s="89">
        <v>0</v>
      </c>
      <c r="G384" s="90" t="e">
        <f t="shared" si="63"/>
        <v>#REF!</v>
      </c>
      <c r="H384" s="89"/>
      <c r="I384" s="309"/>
      <c r="J384" s="89"/>
      <c r="K384" s="246" t="e">
        <f t="shared" si="64"/>
        <v>#REF!</v>
      </c>
      <c r="L384" s="246" t="e">
        <f t="shared" si="65"/>
        <v>#REF!</v>
      </c>
      <c r="M384" s="89"/>
      <c r="N384" s="89"/>
      <c r="O384" s="89"/>
      <c r="P384" s="130"/>
      <c r="Q384" s="449">
        <f>SUM(Q380:Q382)</f>
        <v>18456763.413444936</v>
      </c>
      <c r="R384" s="453">
        <v>0.092</v>
      </c>
      <c r="S384" s="455">
        <f>+R384*Q383</f>
        <v>65780</v>
      </c>
      <c r="T384" s="130"/>
    </row>
    <row r="385" spans="1:20" ht="16.5" customHeight="1" hidden="1">
      <c r="A385" s="86"/>
      <c r="B385" s="80" t="s">
        <v>289</v>
      </c>
      <c r="C385" s="15"/>
      <c r="D385" s="16" t="s">
        <v>300</v>
      </c>
      <c r="E385" s="100" t="e">
        <f>+'fn 2004TP'!#REF!</f>
        <v>#REF!</v>
      </c>
      <c r="F385" s="89">
        <v>0</v>
      </c>
      <c r="G385" s="90" t="e">
        <f t="shared" si="63"/>
        <v>#REF!</v>
      </c>
      <c r="H385" s="89"/>
      <c r="I385" s="309"/>
      <c r="J385" s="89"/>
      <c r="K385" s="246" t="e">
        <f t="shared" si="64"/>
        <v>#REF!</v>
      </c>
      <c r="L385" s="246" t="e">
        <f t="shared" si="65"/>
        <v>#REF!</v>
      </c>
      <c r="M385" s="89"/>
      <c r="N385" s="89"/>
      <c r="O385" s="89"/>
      <c r="P385" s="130"/>
      <c r="Q385" s="449"/>
      <c r="R385" s="453"/>
      <c r="S385" s="455"/>
      <c r="T385" s="130"/>
    </row>
    <row r="386" spans="1:20" ht="16.5" customHeight="1" hidden="1">
      <c r="A386" s="86"/>
      <c r="B386" s="80" t="s">
        <v>291</v>
      </c>
      <c r="C386" s="15"/>
      <c r="D386" s="16" t="s">
        <v>301</v>
      </c>
      <c r="E386" s="100" t="e">
        <f>+'fn 2004TP'!#REF!</f>
        <v>#REF!</v>
      </c>
      <c r="F386" s="89">
        <v>0</v>
      </c>
      <c r="G386" s="90" t="e">
        <f t="shared" si="63"/>
        <v>#REF!</v>
      </c>
      <c r="H386" s="89"/>
      <c r="I386" s="309"/>
      <c r="J386" s="89"/>
      <c r="K386" s="246" t="e">
        <f t="shared" si="64"/>
        <v>#REF!</v>
      </c>
      <c r="L386" s="246" t="e">
        <f t="shared" si="65"/>
        <v>#REF!</v>
      </c>
      <c r="M386" s="89"/>
      <c r="N386" s="89"/>
      <c r="O386" s="89"/>
      <c r="P386" s="130"/>
      <c r="Q386" s="449"/>
      <c r="R386" s="454">
        <v>0.4833</v>
      </c>
      <c r="S386" s="456">
        <f>+R386*Q383</f>
        <v>345559.5</v>
      </c>
      <c r="T386" s="130"/>
    </row>
    <row r="387" spans="1:20" ht="16.5" customHeight="1" hidden="1">
      <c r="A387" s="86"/>
      <c r="B387" s="80" t="s">
        <v>293</v>
      </c>
      <c r="C387" s="15"/>
      <c r="D387" s="16" t="s">
        <v>302</v>
      </c>
      <c r="E387" s="100" t="e">
        <f>+'fn 2004TP'!#REF!</f>
        <v>#REF!</v>
      </c>
      <c r="F387" s="89">
        <v>0</v>
      </c>
      <c r="G387" s="90" t="e">
        <f t="shared" si="63"/>
        <v>#REF!</v>
      </c>
      <c r="H387" s="89"/>
      <c r="I387" s="309"/>
      <c r="J387" s="89"/>
      <c r="K387" s="246" t="e">
        <f t="shared" si="64"/>
        <v>#REF!</v>
      </c>
      <c r="L387" s="246" t="e">
        <f t="shared" si="65"/>
        <v>#REF!</v>
      </c>
      <c r="M387" s="89"/>
      <c r="N387" s="89"/>
      <c r="O387" s="89"/>
      <c r="P387" s="130"/>
      <c r="Q387" s="449"/>
      <c r="R387" s="453">
        <f>+R386+R384+R383</f>
        <v>1</v>
      </c>
      <c r="S387" s="455">
        <f>+S386+S384+S383</f>
        <v>715000</v>
      </c>
      <c r="T387" s="130"/>
    </row>
    <row r="388" spans="1:20" ht="16.5" customHeight="1" hidden="1">
      <c r="A388" s="86"/>
      <c r="B388" s="80" t="s">
        <v>295</v>
      </c>
      <c r="C388" s="52"/>
      <c r="D388" s="50" t="s">
        <v>303</v>
      </c>
      <c r="E388" s="100" t="e">
        <f>+'fn 2004TP'!#REF!</f>
        <v>#REF!</v>
      </c>
      <c r="F388" s="89">
        <v>0</v>
      </c>
      <c r="G388" s="90" t="e">
        <f t="shared" si="63"/>
        <v>#REF!</v>
      </c>
      <c r="H388" s="89"/>
      <c r="I388" s="309"/>
      <c r="J388" s="89"/>
      <c r="K388" s="246" t="e">
        <f t="shared" si="64"/>
        <v>#REF!</v>
      </c>
      <c r="L388" s="246" t="e">
        <f t="shared" si="65"/>
        <v>#REF!</v>
      </c>
      <c r="M388" s="89"/>
      <c r="N388" s="89"/>
      <c r="O388" s="89"/>
      <c r="P388" s="130"/>
      <c r="Q388" s="450"/>
      <c r="R388" s="452"/>
      <c r="S388" s="455"/>
      <c r="T388" s="130"/>
    </row>
    <row r="389" spans="1:20" ht="15">
      <c r="A389" s="86"/>
      <c r="B389" s="80"/>
      <c r="C389" s="52"/>
      <c r="D389" s="62"/>
      <c r="E389" s="331"/>
      <c r="F389" s="89">
        <v>642512</v>
      </c>
      <c r="G389" s="90"/>
      <c r="H389" s="89"/>
      <c r="I389" s="309"/>
      <c r="J389" s="89"/>
      <c r="K389" s="246"/>
      <c r="L389" s="246"/>
      <c r="M389" s="89"/>
      <c r="N389" s="89"/>
      <c r="O389" s="89"/>
      <c r="P389" s="130"/>
      <c r="Q389" s="450">
        <f>+Q382+Q381+Q380</f>
        <v>18456763.413444936</v>
      </c>
      <c r="R389" s="452">
        <f>+R382+R381+R380</f>
        <v>100</v>
      </c>
      <c r="S389" s="455">
        <f>+S382+S381+S380</f>
        <v>200000</v>
      </c>
      <c r="T389" s="130"/>
    </row>
    <row r="390" spans="1:20" ht="15">
      <c r="A390" s="86"/>
      <c r="B390" s="51">
        <v>41330101</v>
      </c>
      <c r="C390" s="57"/>
      <c r="D390" s="54" t="s">
        <v>299</v>
      </c>
      <c r="E390" s="100">
        <f>5637739.45648+2092683.96178+365581.79131</f>
        <v>8096005.209570001</v>
      </c>
      <c r="F390" s="66">
        <v>7949513.038367159</v>
      </c>
      <c r="G390" s="90">
        <f>+F390/E390*100</f>
        <v>98.19056229077422</v>
      </c>
      <c r="H390" s="90">
        <f>+G390/H$26*100-100</f>
        <v>-7.715636944761073</v>
      </c>
      <c r="I390" s="309">
        <v>9066194.975191863</v>
      </c>
      <c r="J390" s="376">
        <f>+'[2]REALJAN-JUN,PROJ  (2)'!AR390</f>
        <v>8844455</v>
      </c>
      <c r="K390" s="246">
        <f>+J390/E390*100</f>
        <v>109.24468019789913</v>
      </c>
      <c r="L390" s="246">
        <f>+K390/$L$26*100-100</f>
        <v>3.2558413968800863</v>
      </c>
      <c r="M390" s="89">
        <f>+J390*$M$33/100+36350+31100</f>
        <v>9188736.4415</v>
      </c>
      <c r="N390" s="90">
        <f>+M390/J390*100</f>
        <v>103.89262471797302</v>
      </c>
      <c r="O390" s="90">
        <f>+N390/O$26*100-100</f>
        <v>-0.9603196206167723</v>
      </c>
      <c r="P390" s="130"/>
      <c r="Q390" s="451"/>
      <c r="R390" s="130"/>
      <c r="S390" s="455"/>
      <c r="T390" s="130"/>
    </row>
    <row r="391" spans="1:21" ht="15">
      <c r="A391" s="86"/>
      <c r="B391" s="51">
        <v>41330102</v>
      </c>
      <c r="C391" s="58"/>
      <c r="D391" s="56" t="s">
        <v>304</v>
      </c>
      <c r="E391" s="100">
        <f>3605862.24724+10897896.82788</f>
        <v>14503759.07512</v>
      </c>
      <c r="F391" s="66">
        <v>13795086.039595101</v>
      </c>
      <c r="G391" s="90">
        <f>+F391/E391*100</f>
        <v>95.11386646831048</v>
      </c>
      <c r="H391" s="90">
        <f>+G391/H$26*100-100</f>
        <v>-10.607268356851066</v>
      </c>
      <c r="I391" s="309">
        <v>15444385.861262824</v>
      </c>
      <c r="J391" s="376">
        <f>+'[2]REALJAN-JUN,PROJ  (2)'!AR391</f>
        <v>15268278</v>
      </c>
      <c r="K391" s="246">
        <f>+J391/E391*100</f>
        <v>105.27117777481196</v>
      </c>
      <c r="L391" s="246">
        <f>+K391/$L$26*100-100</f>
        <v>-0.49983197087716746</v>
      </c>
      <c r="M391" s="89">
        <f>+J391*$M$33/100+52800+146600+142600</f>
        <v>16088175.1014</v>
      </c>
      <c r="N391" s="90">
        <f>+M391/J391*100</f>
        <v>105.36993825629844</v>
      </c>
      <c r="O391" s="90">
        <f>+N391/O$26*100-100</f>
        <v>0.4479868982825792</v>
      </c>
      <c r="P391" s="130"/>
      <c r="Q391" s="130"/>
      <c r="R391" s="130"/>
      <c r="S391" s="130"/>
      <c r="T391" s="130"/>
      <c r="U391" s="130"/>
    </row>
    <row r="392" spans="1:21" ht="15">
      <c r="A392" s="86"/>
      <c r="B392" s="51">
        <v>41330103</v>
      </c>
      <c r="C392" s="59"/>
      <c r="D392" s="53" t="s">
        <v>301</v>
      </c>
      <c r="E392" s="100">
        <v>335598.735</v>
      </c>
      <c r="F392" s="66">
        <v>306975.451272</v>
      </c>
      <c r="G392" s="90">
        <f>+F392/E392*100</f>
        <v>91.47097985098186</v>
      </c>
      <c r="H392" s="90">
        <f>+G392/H$26*100-100</f>
        <v>-14.031033974641119</v>
      </c>
      <c r="I392" s="309">
        <v>398252.9204719713</v>
      </c>
      <c r="J392" s="376">
        <f>+'[2]REALJAN-JUN,PROJ  (2)'!AR392</f>
        <v>406724</v>
      </c>
      <c r="K392" s="246">
        <f>+J392/E392*100</f>
        <v>121.19354383144503</v>
      </c>
      <c r="L392" s="246">
        <f>+K392/$L$26*100-100</f>
        <v>14.549663356753342</v>
      </c>
      <c r="M392" s="89">
        <f>+J392*$M$33/100+1800</f>
        <v>421254.46119999996</v>
      </c>
      <c r="N392" s="90">
        <f>+M392/J392*100</f>
        <v>103.57256055703621</v>
      </c>
      <c r="O392" s="90">
        <f>+N392/O$26*100-100</f>
        <v>-1.2654332154087626</v>
      </c>
      <c r="P392" s="130"/>
      <c r="Q392" s="130"/>
      <c r="R392" s="433"/>
      <c r="S392" s="130"/>
      <c r="T392" s="130"/>
      <c r="U392" s="130"/>
    </row>
    <row r="393" spans="1:21" ht="15">
      <c r="A393" s="86"/>
      <c r="B393" s="51">
        <v>41330104</v>
      </c>
      <c r="C393" s="58"/>
      <c r="D393" s="56" t="s">
        <v>302</v>
      </c>
      <c r="E393" s="100">
        <v>770978.59246</v>
      </c>
      <c r="F393" s="66">
        <v>736811.0073903401</v>
      </c>
      <c r="G393" s="90">
        <f>+F393/E393*100</f>
        <v>95.56828355497659</v>
      </c>
      <c r="H393" s="90">
        <f>+G393/H$26*100-100</f>
        <v>-10.180184628781404</v>
      </c>
      <c r="I393" s="309">
        <v>875030.750734522</v>
      </c>
      <c r="J393" s="376">
        <f>+'[2]REALJAN-JUN,PROJ  (2)'!AR393</f>
        <v>773611</v>
      </c>
      <c r="K393" s="246">
        <f>+J393/E393*100</f>
        <v>100.34143717682234</v>
      </c>
      <c r="L393" s="246">
        <f>+K393/$L$26*100-100</f>
        <v>-5.159322139109307</v>
      </c>
      <c r="M393" s="89">
        <f>+J393*$M$33/100+2550</f>
        <v>800375.0242999999</v>
      </c>
      <c r="N393" s="90">
        <f>+M393/J393*100</f>
        <v>103.45962302759398</v>
      </c>
      <c r="O393" s="90">
        <f>+N393/O$26*100-100</f>
        <v>-1.3730953025796282</v>
      </c>
      <c r="P393" s="130"/>
      <c r="Q393" s="130"/>
      <c r="R393" s="433"/>
      <c r="S393" s="130"/>
      <c r="T393" s="130"/>
      <c r="U393" s="130"/>
    </row>
    <row r="394" spans="1:21" ht="15">
      <c r="A394" s="86"/>
      <c r="B394" s="51">
        <v>41330105</v>
      </c>
      <c r="C394" s="60"/>
      <c r="D394" s="55" t="s">
        <v>303</v>
      </c>
      <c r="E394" s="100">
        <f>776398.85849+1587488.22848</f>
        <v>2363887.08697</v>
      </c>
      <c r="F394" s="66">
        <v>2260495.1484528026</v>
      </c>
      <c r="G394" s="90">
        <f>+F394/E394*100</f>
        <v>95.62618963117549</v>
      </c>
      <c r="H394" s="90">
        <f>+G394/H$26*100-100</f>
        <v>-10.125761624835079</v>
      </c>
      <c r="I394" s="309">
        <v>2692923.291761775</v>
      </c>
      <c r="J394" s="376">
        <f>+'[2]REALJAN-JUN,PROJ  (2)'!AR394</f>
        <v>2525751</v>
      </c>
      <c r="K394" s="246">
        <f>+J394/E394*100</f>
        <v>106.84736229248051</v>
      </c>
      <c r="L394" s="246">
        <f>+K394/$L$26*100-100</f>
        <v>0.9899454560307248</v>
      </c>
      <c r="M394" s="89">
        <f>+J394*$M$33/100+9340-28040</f>
        <v>2586107.0063</v>
      </c>
      <c r="N394" s="90">
        <f>+M394/J394*100</f>
        <v>102.38962614683712</v>
      </c>
      <c r="O394" s="90">
        <f>+N394/O$26*100-100</f>
        <v>-2.393111394816856</v>
      </c>
      <c r="P394" s="130"/>
      <c r="Q394" s="130"/>
      <c r="R394" s="444"/>
      <c r="S394" s="130"/>
      <c r="T394" s="130"/>
      <c r="U394" s="130"/>
    </row>
    <row r="395" spans="1:21" ht="15.75">
      <c r="A395" s="86"/>
      <c r="B395" s="253"/>
      <c r="C395" s="166"/>
      <c r="D395" s="251" t="s">
        <v>48</v>
      </c>
      <c r="E395" s="252">
        <f>+E382/E$562*100</f>
        <v>0.4933337830595548</v>
      </c>
      <c r="F395" s="252">
        <v>0.500477136564983</v>
      </c>
      <c r="G395" s="98"/>
      <c r="H395" s="99"/>
      <c r="I395" s="252">
        <f>+I382/I$562*100</f>
        <v>0.516342184174774</v>
      </c>
      <c r="J395" s="252">
        <f>+J382/J$562*100</f>
        <v>0.4882807470205185</v>
      </c>
      <c r="K395" s="98"/>
      <c r="L395" s="98"/>
      <c r="M395" s="252">
        <f>+M382/M$562*100</f>
        <v>0.4701081016793819</v>
      </c>
      <c r="N395" s="99"/>
      <c r="O395" s="99"/>
      <c r="P395" s="130"/>
      <c r="Q395" s="130"/>
      <c r="R395" s="444"/>
      <c r="S395" s="432"/>
      <c r="T395" s="433"/>
      <c r="U395" s="130"/>
    </row>
    <row r="396" spans="1:21" ht="15.75">
      <c r="A396" s="86"/>
      <c r="B396" s="74">
        <v>413302</v>
      </c>
      <c r="C396" s="10"/>
      <c r="D396" s="11" t="s">
        <v>305</v>
      </c>
      <c r="E396" s="109">
        <f>SUM(E405:E410)</f>
        <v>93849226.92651999</v>
      </c>
      <c r="F396" s="109">
        <f>SUM(F405:F410)</f>
        <v>99587003.84698972</v>
      </c>
      <c r="G396" s="90">
        <f aca="true" t="shared" si="66" ref="G396:G403">+F396/E396*100</f>
        <v>106.11382438446955</v>
      </c>
      <c r="H396" s="90">
        <f>+G396/H$26*100-100</f>
        <v>-0.26896204467148266</v>
      </c>
      <c r="I396" s="109">
        <v>97901405.75059286</v>
      </c>
      <c r="J396" s="109">
        <f>SUM(J405:J410)</f>
        <v>105434362.38990977</v>
      </c>
      <c r="K396" s="246">
        <f aca="true" t="shared" si="67" ref="K396:K403">+J396/E396*100</f>
        <v>112.34441224802039</v>
      </c>
      <c r="L396" s="246">
        <f aca="true" t="shared" si="68" ref="L396:L403">+K396/$L$26*100-100</f>
        <v>6.185644846900189</v>
      </c>
      <c r="M396" s="109">
        <f>SUM(M405:M410)</f>
        <v>111322661.14701536</v>
      </c>
      <c r="N396" s="90">
        <f>+M396/J396*100</f>
        <v>105.58480046128595</v>
      </c>
      <c r="O396" s="90">
        <f>+N396/O$26*100-100</f>
        <v>0.6528126418359932</v>
      </c>
      <c r="P396" s="130"/>
      <c r="Q396" s="130"/>
      <c r="R396" s="431"/>
      <c r="S396" s="432" t="s">
        <v>306</v>
      </c>
      <c r="T396" s="433"/>
      <c r="U396" s="130"/>
    </row>
    <row r="397" spans="1:21" ht="16.5" customHeight="1" hidden="1">
      <c r="A397" s="86"/>
      <c r="B397" s="78"/>
      <c r="C397" s="10"/>
      <c r="D397" s="11" t="s">
        <v>286</v>
      </c>
      <c r="E397" s="100" t="e">
        <f>+'fn 2004TP'!#REF!</f>
        <v>#REF!</v>
      </c>
      <c r="F397" s="89">
        <v>0</v>
      </c>
      <c r="G397" s="90" t="e">
        <f t="shared" si="66"/>
        <v>#REF!</v>
      </c>
      <c r="H397" s="89"/>
      <c r="I397" s="309"/>
      <c r="J397" s="89"/>
      <c r="K397" s="246" t="e">
        <f t="shared" si="67"/>
        <v>#REF!</v>
      </c>
      <c r="L397" s="246" t="e">
        <f t="shared" si="68"/>
        <v>#REF!</v>
      </c>
      <c r="M397" s="89"/>
      <c r="N397" s="89"/>
      <c r="O397" s="89"/>
      <c r="P397" s="130"/>
      <c r="Q397" s="130"/>
      <c r="R397" s="431"/>
      <c r="S397" s="432"/>
      <c r="T397" s="433"/>
      <c r="U397" s="130"/>
    </row>
    <row r="398" spans="1:21" ht="16.5" customHeight="1" hidden="1">
      <c r="A398" s="86"/>
      <c r="B398" s="80" t="s">
        <v>287</v>
      </c>
      <c r="C398" s="15"/>
      <c r="D398" s="16" t="s">
        <v>307</v>
      </c>
      <c r="E398" s="100" t="e">
        <f>+'fn 2004TP'!#REF!</f>
        <v>#REF!</v>
      </c>
      <c r="F398" s="89">
        <v>0</v>
      </c>
      <c r="G398" s="90" t="e">
        <f t="shared" si="66"/>
        <v>#REF!</v>
      </c>
      <c r="H398" s="89"/>
      <c r="I398" s="309"/>
      <c r="J398" s="89"/>
      <c r="K398" s="246" t="e">
        <f t="shared" si="67"/>
        <v>#REF!</v>
      </c>
      <c r="L398" s="246" t="e">
        <f t="shared" si="68"/>
        <v>#REF!</v>
      </c>
      <c r="M398" s="89"/>
      <c r="N398" s="89"/>
      <c r="O398" s="89"/>
      <c r="P398" s="130"/>
      <c r="Q398" s="130"/>
      <c r="R398" s="431"/>
      <c r="S398" s="435"/>
      <c r="T398" s="434"/>
      <c r="U398" s="130"/>
    </row>
    <row r="399" spans="1:21" ht="16.5" customHeight="1" hidden="1">
      <c r="A399" s="86"/>
      <c r="B399" s="80" t="s">
        <v>289</v>
      </c>
      <c r="C399" s="15"/>
      <c r="D399" s="16" t="s">
        <v>308</v>
      </c>
      <c r="E399" s="100" t="e">
        <f>+'fn 2004TP'!#REF!</f>
        <v>#REF!</v>
      </c>
      <c r="F399" s="89">
        <v>0</v>
      </c>
      <c r="G399" s="90" t="e">
        <f t="shared" si="66"/>
        <v>#REF!</v>
      </c>
      <c r="H399" s="89"/>
      <c r="I399" s="309"/>
      <c r="J399" s="89"/>
      <c r="K399" s="246" t="e">
        <f t="shared" si="67"/>
        <v>#REF!</v>
      </c>
      <c r="L399" s="246" t="e">
        <f t="shared" si="68"/>
        <v>#REF!</v>
      </c>
      <c r="M399" s="89"/>
      <c r="N399" s="89"/>
      <c r="O399" s="89"/>
      <c r="P399" s="130"/>
      <c r="Q399" s="130"/>
      <c r="R399" s="431"/>
      <c r="S399" s="432"/>
      <c r="T399" s="433"/>
      <c r="U399" s="130"/>
    </row>
    <row r="400" spans="1:20" ht="16.5" customHeight="1" hidden="1">
      <c r="A400" s="86"/>
      <c r="B400" s="80" t="s">
        <v>291</v>
      </c>
      <c r="C400" s="15"/>
      <c r="D400" s="16" t="s">
        <v>309</v>
      </c>
      <c r="E400" s="100" t="e">
        <f>+'fn 2004TP'!#REF!</f>
        <v>#REF!</v>
      </c>
      <c r="F400" s="89">
        <v>0</v>
      </c>
      <c r="G400" s="90" t="e">
        <f t="shared" si="66"/>
        <v>#REF!</v>
      </c>
      <c r="H400" s="89"/>
      <c r="I400" s="309"/>
      <c r="J400" s="89"/>
      <c r="K400" s="246" t="e">
        <f t="shared" si="67"/>
        <v>#REF!</v>
      </c>
      <c r="L400" s="246" t="e">
        <f t="shared" si="68"/>
        <v>#REF!</v>
      </c>
      <c r="M400" s="89"/>
      <c r="N400" s="89"/>
      <c r="O400" s="89"/>
      <c r="P400" s="130"/>
      <c r="Q400" s="130"/>
      <c r="R400" s="130"/>
      <c r="S400" s="130"/>
      <c r="T400" s="130"/>
    </row>
    <row r="401" spans="1:20" ht="16.5" customHeight="1" hidden="1">
      <c r="A401" s="86"/>
      <c r="B401" s="80" t="s">
        <v>293</v>
      </c>
      <c r="C401" s="15"/>
      <c r="D401" s="16" t="s">
        <v>310</v>
      </c>
      <c r="E401" s="100" t="e">
        <f>+'fn 2004TP'!#REF!</f>
        <v>#REF!</v>
      </c>
      <c r="F401" s="89">
        <v>0</v>
      </c>
      <c r="G401" s="90" t="e">
        <f t="shared" si="66"/>
        <v>#REF!</v>
      </c>
      <c r="H401" s="89"/>
      <c r="I401" s="309"/>
      <c r="J401" s="89"/>
      <c r="K401" s="246" t="e">
        <f t="shared" si="67"/>
        <v>#REF!</v>
      </c>
      <c r="L401" s="246" t="e">
        <f t="shared" si="68"/>
        <v>#REF!</v>
      </c>
      <c r="M401" s="89"/>
      <c r="N401" s="89"/>
      <c r="O401" s="89"/>
      <c r="P401" s="130"/>
      <c r="Q401" s="130"/>
      <c r="R401" s="130"/>
      <c r="S401" s="130"/>
      <c r="T401" s="130"/>
    </row>
    <row r="402" spans="1:20" ht="16.5" customHeight="1" hidden="1">
      <c r="A402" s="86"/>
      <c r="B402" s="80" t="s">
        <v>295</v>
      </c>
      <c r="C402" s="15"/>
      <c r="D402" s="16" t="s">
        <v>311</v>
      </c>
      <c r="E402" s="100" t="e">
        <f>+'fn 2004TP'!#REF!</f>
        <v>#REF!</v>
      </c>
      <c r="F402" s="89">
        <v>0</v>
      </c>
      <c r="G402" s="90" t="e">
        <f t="shared" si="66"/>
        <v>#REF!</v>
      </c>
      <c r="H402" s="89"/>
      <c r="I402" s="309"/>
      <c r="J402" s="89"/>
      <c r="K402" s="246" t="e">
        <f t="shared" si="67"/>
        <v>#REF!</v>
      </c>
      <c r="L402" s="246" t="e">
        <f t="shared" si="68"/>
        <v>#REF!</v>
      </c>
      <c r="M402" s="89"/>
      <c r="N402" s="89"/>
      <c r="O402" s="89"/>
      <c r="P402" s="130"/>
      <c r="Q402" s="130"/>
      <c r="R402" s="130"/>
      <c r="S402" s="130"/>
      <c r="T402" s="130"/>
    </row>
    <row r="403" spans="1:20" ht="16.5" customHeight="1" hidden="1">
      <c r="A403" s="86"/>
      <c r="B403" s="80"/>
      <c r="C403" s="15"/>
      <c r="D403" s="16"/>
      <c r="E403" s="100" t="e">
        <f>+'fn 2004TP'!#REF!</f>
        <v>#REF!</v>
      </c>
      <c r="F403" s="89">
        <v>0</v>
      </c>
      <c r="G403" s="90" t="e">
        <f t="shared" si="66"/>
        <v>#REF!</v>
      </c>
      <c r="H403" s="89"/>
      <c r="I403" s="309"/>
      <c r="J403" s="89"/>
      <c r="K403" s="246" t="e">
        <f t="shared" si="67"/>
        <v>#REF!</v>
      </c>
      <c r="L403" s="246" t="e">
        <f t="shared" si="68"/>
        <v>#REF!</v>
      </c>
      <c r="M403" s="89"/>
      <c r="N403" s="89"/>
      <c r="O403" s="89"/>
      <c r="P403" s="130"/>
      <c r="Q403" s="130"/>
      <c r="R403" s="130"/>
      <c r="S403" s="130"/>
      <c r="T403" s="130"/>
    </row>
    <row r="404" spans="1:20" ht="15">
      <c r="A404" s="86"/>
      <c r="B404" s="80"/>
      <c r="C404" s="15"/>
      <c r="D404" s="62"/>
      <c r="E404" s="331"/>
      <c r="F404" s="89">
        <v>3091584</v>
      </c>
      <c r="G404" s="90"/>
      <c r="H404" s="89"/>
      <c r="I404" s="309"/>
      <c r="J404" s="322"/>
      <c r="K404" s="246"/>
      <c r="L404" s="246"/>
      <c r="M404" s="89"/>
      <c r="N404" s="89"/>
      <c r="O404" s="89"/>
      <c r="P404" s="130"/>
      <c r="Q404" s="130"/>
      <c r="R404" s="130"/>
      <c r="S404" s="130"/>
      <c r="T404" s="130">
        <v>6000000</v>
      </c>
    </row>
    <row r="405" spans="1:21" ht="15">
      <c r="A405" s="86"/>
      <c r="B405" s="51">
        <v>41330201</v>
      </c>
      <c r="C405" s="15"/>
      <c r="D405" s="56" t="s">
        <v>312</v>
      </c>
      <c r="E405" s="100">
        <f>4321945.14437+755365.54512+11646748.89766</f>
        <v>16724059.58715</v>
      </c>
      <c r="F405" s="66">
        <v>20561289.412359677</v>
      </c>
      <c r="G405" s="90">
        <f aca="true" t="shared" si="69" ref="G405:G410">+F405/E405*100</f>
        <v>122.94436829295938</v>
      </c>
      <c r="H405" s="90">
        <f aca="true" t="shared" si="70" ref="H405:H410">+G405/H$26*100-100</f>
        <v>15.549218320450535</v>
      </c>
      <c r="I405" s="309">
        <v>18021028.48669972</v>
      </c>
      <c r="J405" s="376">
        <f>+'[2]REALJAN-JUN,PROJ  (2)'!AR405</f>
        <v>19081869.507473666</v>
      </c>
      <c r="K405" s="246">
        <f aca="true" t="shared" si="71" ref="K405:K410">+J405/E405*100</f>
        <v>114.09831092766076</v>
      </c>
      <c r="L405" s="246">
        <f aca="true" t="shared" si="72" ref="L405:L410">+K405/$L$26*100-100</f>
        <v>7.843394071513018</v>
      </c>
      <c r="M405" s="89">
        <f>+J405*$M$29/100</f>
        <v>20016881.11333988</v>
      </c>
      <c r="N405" s="90">
        <f aca="true" t="shared" si="73" ref="N405:N410">+M405/J405*100</f>
        <v>104.90000000000002</v>
      </c>
      <c r="O405" s="90">
        <f aca="true" t="shared" si="74" ref="O405:O410">+N405/O$26*100-100</f>
        <v>0</v>
      </c>
      <c r="P405" s="130"/>
      <c r="Q405" s="130"/>
      <c r="R405" s="130"/>
      <c r="S405" s="181">
        <f>+M405</f>
        <v>20016881.11333988</v>
      </c>
      <c r="T405" s="480">
        <f>+S405/S408</f>
        <v>0.18922812729245744</v>
      </c>
      <c r="U405" s="465">
        <f>+T404*T405</f>
        <v>1135368.7637547445</v>
      </c>
    </row>
    <row r="406" spans="1:21" ht="15">
      <c r="A406" s="86"/>
      <c r="B406" s="51">
        <v>41330202</v>
      </c>
      <c r="C406" s="15"/>
      <c r="D406" s="56" t="s">
        <v>308</v>
      </c>
      <c r="E406" s="100">
        <f>53687094.08068+17707719.47353</f>
        <v>71394813.55420999</v>
      </c>
      <c r="F406" s="66">
        <v>73039641.33983944</v>
      </c>
      <c r="G406" s="90">
        <f t="shared" si="69"/>
        <v>102.30384772190845</v>
      </c>
      <c r="H406" s="90">
        <f t="shared" si="70"/>
        <v>-3.8497671786574728</v>
      </c>
      <c r="I406" s="309">
        <v>73643917.17861643</v>
      </c>
      <c r="J406" s="376">
        <f>+'[2]REALJAN-JUN,PROJ  (2)'!AR406</f>
        <v>79717247.8822186</v>
      </c>
      <c r="K406" s="246">
        <f t="shared" si="71"/>
        <v>111.65691723767776</v>
      </c>
      <c r="L406" s="246">
        <f t="shared" si="72"/>
        <v>5.535838598939293</v>
      </c>
      <c r="M406" s="89">
        <f>+J406*$M$29/100+749115-557000+20200</f>
        <v>83835708.02844732</v>
      </c>
      <c r="N406" s="90">
        <f t="shared" si="73"/>
        <v>105.16633508511697</v>
      </c>
      <c r="O406" s="90">
        <f t="shared" si="74"/>
        <v>0.2538942660790866</v>
      </c>
      <c r="P406" s="130"/>
      <c r="Q406" s="130"/>
      <c r="R406" s="130"/>
      <c r="S406" s="181">
        <f>+M406</f>
        <v>83835708.02844732</v>
      </c>
      <c r="T406" s="480">
        <f>+S406/S408</f>
        <v>0.7925347580691783</v>
      </c>
      <c r="U406" s="465">
        <f>+T406*T404</f>
        <v>4755208.5484150695</v>
      </c>
    </row>
    <row r="407" spans="1:21" ht="15">
      <c r="A407" s="86"/>
      <c r="B407" s="51">
        <v>41330203</v>
      </c>
      <c r="C407" s="15"/>
      <c r="D407" s="53" t="s">
        <v>313</v>
      </c>
      <c r="E407" s="100">
        <v>1361689.27951</v>
      </c>
      <c r="F407" s="66">
        <v>1381103.51194816</v>
      </c>
      <c r="G407" s="90">
        <f t="shared" si="69"/>
        <v>101.42574614710531</v>
      </c>
      <c r="H407" s="90">
        <f t="shared" si="70"/>
        <v>-4.67505061362283</v>
      </c>
      <c r="I407" s="309">
        <v>1527876.8720994825</v>
      </c>
      <c r="J407" s="376">
        <f>+'[2]REALJAN-JUN,PROJ  (2)'!AR407</f>
        <v>1839040.774230476</v>
      </c>
      <c r="K407" s="246">
        <f t="shared" si="71"/>
        <v>135.05583115791654</v>
      </c>
      <c r="L407" s="246">
        <f t="shared" si="72"/>
        <v>27.65201432695325</v>
      </c>
      <c r="M407" s="89">
        <f>+J407*$M$29/100</f>
        <v>1929153.7721677693</v>
      </c>
      <c r="N407" s="90">
        <f t="shared" si="73"/>
        <v>104.89999999999999</v>
      </c>
      <c r="O407" s="90">
        <f t="shared" si="74"/>
        <v>0</v>
      </c>
      <c r="P407" s="130"/>
      <c r="Q407" s="130"/>
      <c r="R407" s="130"/>
      <c r="S407" s="181">
        <f>+M407</f>
        <v>1929153.7721677693</v>
      </c>
      <c r="T407" s="480">
        <f>+S407/S408</f>
        <v>0.018237114638364225</v>
      </c>
      <c r="U407" s="465">
        <f>+T407*T404</f>
        <v>109422.68783018534</v>
      </c>
    </row>
    <row r="408" spans="1:21" ht="15">
      <c r="A408" s="86"/>
      <c r="B408" s="51">
        <v>41330204</v>
      </c>
      <c r="C408" s="15"/>
      <c r="D408" s="56" t="s">
        <v>310</v>
      </c>
      <c r="E408" s="100">
        <v>1025931.56917</v>
      </c>
      <c r="F408" s="66">
        <v>1167902.42467864</v>
      </c>
      <c r="G408" s="90">
        <f t="shared" si="69"/>
        <v>113.83823831676195</v>
      </c>
      <c r="H408" s="90">
        <f t="shared" si="70"/>
        <v>6.9908254856785135</v>
      </c>
      <c r="I408" s="309">
        <v>1115081.3489876052</v>
      </c>
      <c r="J408" s="376">
        <f>+'[2]REALJAN-JUN,PROJ  (2)'!AR408</f>
        <v>1055744.2471780619</v>
      </c>
      <c r="K408" s="246">
        <f t="shared" si="71"/>
        <v>102.90591291894653</v>
      </c>
      <c r="L408" s="246">
        <f t="shared" si="72"/>
        <v>-2.7354320236800334</v>
      </c>
      <c r="M408" s="89">
        <f>+J408*$M$29/100</f>
        <v>1107475.715289787</v>
      </c>
      <c r="N408" s="90">
        <f t="shared" si="73"/>
        <v>104.89999999999999</v>
      </c>
      <c r="O408" s="90">
        <f t="shared" si="74"/>
        <v>0</v>
      </c>
      <c r="P408" s="130"/>
      <c r="Q408" s="130"/>
      <c r="R408" s="130"/>
      <c r="S408" s="181">
        <f>+S407+S406+S405</f>
        <v>105781742.91395497</v>
      </c>
      <c r="T408" s="480">
        <f>+T407+T406+T405</f>
        <v>0.9999999999999999</v>
      </c>
      <c r="U408" s="465">
        <f>+U407+U406+U405</f>
        <v>6000000</v>
      </c>
    </row>
    <row r="409" spans="1:21" ht="16.5">
      <c r="A409" s="86"/>
      <c r="B409" s="51">
        <v>41330205</v>
      </c>
      <c r="C409" s="15"/>
      <c r="D409" s="56" t="s">
        <v>311</v>
      </c>
      <c r="E409" s="100">
        <f>1860016.25669+909693.01756</f>
        <v>2769709.27425</v>
      </c>
      <c r="F409" s="66">
        <v>2907887.1128304796</v>
      </c>
      <c r="G409" s="90">
        <f t="shared" si="69"/>
        <v>104.98889323385382</v>
      </c>
      <c r="H409" s="90">
        <f t="shared" si="70"/>
        <v>-1.3262281636712316</v>
      </c>
      <c r="I409" s="324">
        <v>3044990.2191896206</v>
      </c>
      <c r="J409" s="376">
        <f>+'[2]REALJAN-JUN,PROJ  (2)'!AR409</f>
        <v>3072604.138651035</v>
      </c>
      <c r="K409" s="246">
        <f t="shared" si="71"/>
        <v>110.93598043726286</v>
      </c>
      <c r="L409" s="246">
        <f t="shared" si="72"/>
        <v>4.854423853745615</v>
      </c>
      <c r="M409" s="89">
        <f>+J409*$M$29/100+550000-40300</f>
        <v>3732861.741444936</v>
      </c>
      <c r="N409" s="90">
        <f t="shared" si="73"/>
        <v>121.48853457848215</v>
      </c>
      <c r="O409" s="90">
        <f t="shared" si="74"/>
        <v>15.813664993786603</v>
      </c>
      <c r="P409" s="130"/>
      <c r="Q409" s="130"/>
      <c r="R409" s="130"/>
      <c r="S409" s="130"/>
      <c r="T409" s="130"/>
      <c r="U409" s="465"/>
    </row>
    <row r="410" spans="1:20" ht="15">
      <c r="A410" s="86"/>
      <c r="B410" s="51">
        <v>41330206</v>
      </c>
      <c r="C410" s="58"/>
      <c r="D410" s="55" t="s">
        <v>314</v>
      </c>
      <c r="E410" s="100">
        <v>573023.66223</v>
      </c>
      <c r="F410" s="66">
        <v>529180.0453333333</v>
      </c>
      <c r="G410" s="90">
        <f t="shared" si="69"/>
        <v>92.34872488056719</v>
      </c>
      <c r="H410" s="90">
        <f t="shared" si="70"/>
        <v>-13.206085638564673</v>
      </c>
      <c r="I410" s="309">
        <v>548511.645</v>
      </c>
      <c r="J410" s="376">
        <f>+'[2]REALJAN-JUN,PROJ  (2)'!AR410</f>
        <v>667855.8401579355</v>
      </c>
      <c r="K410" s="246">
        <f t="shared" si="71"/>
        <v>116.54943489748453</v>
      </c>
      <c r="L410" s="246">
        <f t="shared" si="72"/>
        <v>10.160146405940012</v>
      </c>
      <c r="M410" s="89">
        <f>+J410*$M$29/100</f>
        <v>700580.7763256744</v>
      </c>
      <c r="N410" s="90">
        <f t="shared" si="73"/>
        <v>104.89999999999999</v>
      </c>
      <c r="O410" s="90">
        <f t="shared" si="74"/>
        <v>0</v>
      </c>
      <c r="P410" s="130"/>
      <c r="Q410" s="130"/>
      <c r="R410" s="130"/>
      <c r="S410" s="130"/>
      <c r="T410" s="130"/>
    </row>
    <row r="411" spans="1:30" ht="16.5" thickBot="1">
      <c r="A411" s="86"/>
      <c r="B411" s="253"/>
      <c r="C411" s="307"/>
      <c r="D411" s="255" t="s">
        <v>48</v>
      </c>
      <c r="E411" s="252">
        <f>+E396/E$562*100</f>
        <v>1.7759335635762015</v>
      </c>
      <c r="F411" s="252">
        <v>1.989750326613181</v>
      </c>
      <c r="G411" s="98"/>
      <c r="H411" s="99"/>
      <c r="I411" s="252">
        <f>+I396/I$562*100</f>
        <v>1.775151960084003</v>
      </c>
      <c r="J411" s="252">
        <f>+J396/J$562*100</f>
        <v>1.85060225703245</v>
      </c>
      <c r="K411" s="98"/>
      <c r="L411" s="98"/>
      <c r="M411" s="408">
        <f>+M396/M$562*100</f>
        <v>1.7993576832452216</v>
      </c>
      <c r="N411" s="99"/>
      <c r="O411" s="99"/>
      <c r="P411" s="130"/>
      <c r="Q411" s="431" t="s">
        <v>315</v>
      </c>
      <c r="R411" s="431"/>
      <c r="S411" s="431"/>
      <c r="T411" s="431"/>
      <c r="U411" s="431" t="s">
        <v>316</v>
      </c>
      <c r="Y411" s="460" t="s">
        <v>317</v>
      </c>
      <c r="Z411" s="460"/>
      <c r="AA411" s="460"/>
      <c r="AB411" s="460"/>
      <c r="AC411" s="460"/>
      <c r="AD411" s="460"/>
    </row>
    <row r="412" spans="1:30" ht="16.5" thickBot="1">
      <c r="A412" s="86"/>
      <c r="B412" s="183"/>
      <c r="C412" s="13"/>
      <c r="D412" s="418" t="s">
        <v>318</v>
      </c>
      <c r="E412" s="183"/>
      <c r="F412" s="183"/>
      <c r="G412" s="183"/>
      <c r="H412" s="183"/>
      <c r="I412" s="183"/>
      <c r="J412" s="183"/>
      <c r="K412" s="183"/>
      <c r="L412" s="183"/>
      <c r="M412" s="410">
        <v>550000</v>
      </c>
      <c r="P412" s="130"/>
      <c r="Q412" s="433">
        <f>1150000+400000</f>
        <v>1550000</v>
      </c>
      <c r="R412" s="431"/>
      <c r="S412" s="431"/>
      <c r="T412" s="431"/>
      <c r="U412" s="459">
        <v>1956000</v>
      </c>
      <c r="V412" s="459"/>
      <c r="W412" s="459"/>
      <c r="X412" s="460"/>
      <c r="Y412" s="460" t="s">
        <v>319</v>
      </c>
      <c r="Z412" s="460"/>
      <c r="AA412" s="464">
        <v>0.2</v>
      </c>
      <c r="AB412" s="459">
        <f>3938003*0.2</f>
        <v>787600.6000000001</v>
      </c>
      <c r="AC412" s="460"/>
      <c r="AD412" s="460"/>
    </row>
    <row r="413" spans="1:30" ht="16.5" customHeight="1" hidden="1" thickBot="1">
      <c r="A413" s="86"/>
      <c r="B413" s="74"/>
      <c r="C413" s="15"/>
      <c r="D413" s="11"/>
      <c r="E413" s="100" t="e">
        <f>+'fn 2004TP'!#REF!</f>
        <v>#REF!</v>
      </c>
      <c r="F413" s="111">
        <v>0</v>
      </c>
      <c r="G413" s="90" t="e">
        <f>+F413/E413*100</f>
        <v>#REF!</v>
      </c>
      <c r="H413" s="89"/>
      <c r="I413" s="90"/>
      <c r="J413" s="111"/>
      <c r="K413" s="246" t="e">
        <f>+J413/E413*100</f>
        <v>#REF!</v>
      </c>
      <c r="L413" s="246" t="e">
        <f>+K413/$L$26*100-100</f>
        <v>#REF!</v>
      </c>
      <c r="M413" s="419"/>
      <c r="N413" s="89"/>
      <c r="O413" s="89"/>
      <c r="P413" s="130"/>
      <c r="Q413" s="433"/>
      <c r="R413" s="431"/>
      <c r="S413" s="431"/>
      <c r="T413" s="431"/>
      <c r="U413" s="459"/>
      <c r="V413" s="459"/>
      <c r="W413" s="459"/>
      <c r="X413" s="460"/>
      <c r="Y413" s="460"/>
      <c r="Z413" s="460"/>
      <c r="AA413" s="460"/>
      <c r="AB413" s="459"/>
      <c r="AC413" s="460"/>
      <c r="AD413" s="460"/>
    </row>
    <row r="414" spans="1:30" ht="16.5" customHeight="1" thickBot="1">
      <c r="A414" s="86"/>
      <c r="B414" s="74"/>
      <c r="C414" s="15"/>
      <c r="D414" s="411" t="s">
        <v>320</v>
      </c>
      <c r="E414" s="100"/>
      <c r="F414" s="111"/>
      <c r="G414" s="90"/>
      <c r="H414" s="89"/>
      <c r="I414" s="90"/>
      <c r="J414" s="111"/>
      <c r="K414" s="426"/>
      <c r="L414" s="413"/>
      <c r="M414" s="410">
        <v>1394500</v>
      </c>
      <c r="N414" s="407"/>
      <c r="O414" s="89"/>
      <c r="P414" s="130"/>
      <c r="Q414" s="444"/>
      <c r="R414" s="432">
        <v>0.4247</v>
      </c>
      <c r="S414" s="433">
        <f>+R414*Q412</f>
        <v>658285</v>
      </c>
      <c r="T414" s="431"/>
      <c r="U414" s="432">
        <v>0.4247</v>
      </c>
      <c r="V414" s="461">
        <f>+U414*U412</f>
        <v>830713.2000000001</v>
      </c>
      <c r="W414" s="459"/>
      <c r="X414" s="460"/>
      <c r="Y414" s="459">
        <f>+E376</f>
        <v>37135397.59321</v>
      </c>
      <c r="Z414" s="463">
        <f>+Y414/Y417</f>
        <v>0.821009194765182</v>
      </c>
      <c r="AA414" s="466">
        <f>+AB412*Z414</f>
        <v>646627.3344025742</v>
      </c>
      <c r="AB414" s="459"/>
      <c r="AC414" s="460"/>
      <c r="AD414" s="460"/>
    </row>
    <row r="415" spans="1:30" ht="16.5" customHeight="1" hidden="1" thickBot="1">
      <c r="A415" s="86"/>
      <c r="B415" s="74"/>
      <c r="C415" s="15"/>
      <c r="D415" s="411" t="s">
        <v>321</v>
      </c>
      <c r="E415" s="100"/>
      <c r="F415" s="111"/>
      <c r="G415" s="90"/>
      <c r="H415" s="89"/>
      <c r="I415" s="90"/>
      <c r="J415" s="111"/>
      <c r="K415" s="246"/>
      <c r="L415" s="413"/>
      <c r="M415" s="410"/>
      <c r="N415" s="407"/>
      <c r="O415" s="89"/>
      <c r="P415" s="130"/>
      <c r="Q415" s="444">
        <f>+Q412+Q414</f>
        <v>1550000</v>
      </c>
      <c r="R415" s="432">
        <v>0.4247</v>
      </c>
      <c r="S415" s="433">
        <f>+R415*Q415</f>
        <v>658285</v>
      </c>
      <c r="T415" s="431"/>
      <c r="U415" s="432">
        <v>0.4247</v>
      </c>
      <c r="V415" s="461"/>
      <c r="W415" s="459"/>
      <c r="X415" s="460"/>
      <c r="Y415" s="460"/>
      <c r="Z415" s="463"/>
      <c r="AA415" s="466"/>
      <c r="AB415" s="459"/>
      <c r="AC415" s="460"/>
      <c r="AD415" s="460"/>
    </row>
    <row r="416" spans="1:30" ht="16.5" customHeight="1" thickBot="1">
      <c r="A416" s="86"/>
      <c r="B416" s="74"/>
      <c r="C416" s="15"/>
      <c r="D416" s="411" t="s">
        <v>322</v>
      </c>
      <c r="E416" s="100"/>
      <c r="F416" s="111"/>
      <c r="G416" s="90"/>
      <c r="H416" s="89"/>
      <c r="I416" s="90"/>
      <c r="J416" s="111"/>
      <c r="K416" s="246"/>
      <c r="L416" s="413"/>
      <c r="M416" s="410">
        <v>-584000</v>
      </c>
      <c r="N416" s="407"/>
      <c r="O416" s="89"/>
      <c r="P416" s="130"/>
      <c r="Q416" s="445"/>
      <c r="R416" s="432">
        <v>0.092</v>
      </c>
      <c r="S416" s="433">
        <f>+R416*Q412</f>
        <v>142600</v>
      </c>
      <c r="T416" s="431"/>
      <c r="U416" s="432">
        <v>0.092</v>
      </c>
      <c r="V416" s="461">
        <f>+U416*U412</f>
        <v>179952</v>
      </c>
      <c r="W416" s="459"/>
      <c r="X416" s="460"/>
      <c r="Y416" s="459">
        <f>+E390</f>
        <v>8096005.209570001</v>
      </c>
      <c r="Z416" s="463">
        <f>+Y416/Y417</f>
        <v>0.17899080523481814</v>
      </c>
      <c r="AA416" s="466">
        <f>+AB412*Z416</f>
        <v>140973.26559742593</v>
      </c>
      <c r="AB416" s="459"/>
      <c r="AC416" s="460"/>
      <c r="AD416" s="460"/>
    </row>
    <row r="417" spans="1:30" ht="16.5" customHeight="1" thickBot="1">
      <c r="A417" s="86"/>
      <c r="B417" s="74"/>
      <c r="C417" s="15"/>
      <c r="D417" s="411" t="s">
        <v>323</v>
      </c>
      <c r="E417" s="331"/>
      <c r="F417" s="437"/>
      <c r="G417" s="438"/>
      <c r="H417" s="439"/>
      <c r="I417" s="438"/>
      <c r="J417" s="437"/>
      <c r="K417" s="440"/>
      <c r="L417" s="441"/>
      <c r="M417" s="410">
        <v>550000</v>
      </c>
      <c r="N417" s="407"/>
      <c r="O417" s="89"/>
      <c r="P417" s="130"/>
      <c r="Q417" s="431"/>
      <c r="R417" s="435">
        <v>0.4833</v>
      </c>
      <c r="S417" s="434">
        <f>+R417*Q412</f>
        <v>749115</v>
      </c>
      <c r="T417" s="431"/>
      <c r="U417" s="435">
        <v>0.4833</v>
      </c>
      <c r="V417" s="462">
        <f>+U417*U412</f>
        <v>945334.8</v>
      </c>
      <c r="W417" s="459"/>
      <c r="X417" s="460"/>
      <c r="Y417" s="459">
        <f>+Y416+Y414</f>
        <v>45231402.802779995</v>
      </c>
      <c r="Z417" s="463">
        <f>SUM(Z414:Z416)</f>
        <v>1</v>
      </c>
      <c r="AA417" s="459">
        <f>+AA416+AA414</f>
        <v>787600.6000000001</v>
      </c>
      <c r="AB417" s="459"/>
      <c r="AC417" s="460"/>
      <c r="AD417" s="460"/>
    </row>
    <row r="418" spans="1:30" ht="16.5" customHeight="1">
      <c r="A418" s="86"/>
      <c r="B418" s="74">
        <v>413303</v>
      </c>
      <c r="C418" s="15"/>
      <c r="D418" s="11" t="s">
        <v>324</v>
      </c>
      <c r="E418" s="240">
        <v>46300488.832260005</v>
      </c>
      <c r="F418" s="101">
        <v>45391567.30536735</v>
      </c>
      <c r="G418" s="90">
        <f>+F418/E418*100</f>
        <v>98.03690727718762</v>
      </c>
      <c r="H418" s="90">
        <f>+G418/H$26*100-100</f>
        <v>-7.860049551515388</v>
      </c>
      <c r="I418" s="101">
        <v>52065393.30221871</v>
      </c>
      <c r="J418" s="355">
        <f>+'[2]REALJAN-JUN,PROJ  (2)'!AR412</f>
        <v>51141608.639651954</v>
      </c>
      <c r="K418" s="246">
        <f>+J418/E418*100</f>
        <v>110.45587191299562</v>
      </c>
      <c r="L418" s="246">
        <f>+K418/$L$26*100-100</f>
        <v>4.400635078445774</v>
      </c>
      <c r="M418" s="387">
        <f>+J418*M$29/100*1.03</f>
        <v>55256973.88688475</v>
      </c>
      <c r="N418" s="90">
        <f>+M418/J418*100</f>
        <v>108.047</v>
      </c>
      <c r="O418" s="90">
        <f>+N418/O$26*100-100</f>
        <v>3</v>
      </c>
      <c r="P418" s="130"/>
      <c r="Q418" s="431"/>
      <c r="R418" s="446">
        <f>+R417+R416+R414</f>
        <v>1</v>
      </c>
      <c r="S418" s="444">
        <f>+S417+S416+S414</f>
        <v>1550000</v>
      </c>
      <c r="T418" s="431"/>
      <c r="U418" s="446">
        <f>+U417+U416+U414</f>
        <v>1</v>
      </c>
      <c r="V418" s="459">
        <f>+V417+V416+V414</f>
        <v>1956000</v>
      </c>
      <c r="W418" s="459"/>
      <c r="X418" s="460"/>
      <c r="Y418" s="460"/>
      <c r="Z418" s="460"/>
      <c r="AA418" s="460"/>
      <c r="AB418" s="459"/>
      <c r="AC418" s="460"/>
      <c r="AD418" s="460"/>
    </row>
    <row r="419" spans="1:30" ht="15.75">
      <c r="A419" s="86"/>
      <c r="B419" s="253"/>
      <c r="C419" s="166"/>
      <c r="D419" s="251" t="s">
        <v>48</v>
      </c>
      <c r="E419" s="252">
        <f aca="true" t="shared" si="75" ref="E419:J419">+E418/E$562*100</f>
        <v>0.8761563075162633</v>
      </c>
      <c r="F419" s="252">
        <f t="shared" si="75"/>
        <v>0.8997337424255174</v>
      </c>
      <c r="G419" s="252">
        <f t="shared" si="75"/>
        <v>102.69100783809817</v>
      </c>
      <c r="H419" s="252" t="e">
        <f t="shared" si="75"/>
        <v>#DIV/0!</v>
      </c>
      <c r="I419" s="252">
        <f t="shared" si="75"/>
        <v>0.9440516636546702</v>
      </c>
      <c r="J419" s="252">
        <f t="shared" si="75"/>
        <v>0.8976464051331675</v>
      </c>
      <c r="K419" s="98"/>
      <c r="L419" s="98"/>
      <c r="M419" s="252">
        <f>+M418/M$562*100</f>
        <v>0.8931430446577351</v>
      </c>
      <c r="N419" s="99"/>
      <c r="O419" s="99"/>
      <c r="P419" s="130"/>
      <c r="Q419" s="431"/>
      <c r="R419" s="446"/>
      <c r="S419" s="444"/>
      <c r="T419" s="431"/>
      <c r="U419" s="459"/>
      <c r="V419" s="459"/>
      <c r="W419" s="459"/>
      <c r="X419" s="460"/>
      <c r="Y419" s="460" t="s">
        <v>325</v>
      </c>
      <c r="Z419" s="460"/>
      <c r="AA419" s="464">
        <v>0.8</v>
      </c>
      <c r="AB419" s="459">
        <f>3938003*0.8</f>
        <v>3150402.4000000004</v>
      </c>
      <c r="AC419" s="460"/>
      <c r="AD419" s="460"/>
    </row>
    <row r="420" spans="1:30" ht="15.75">
      <c r="A420" s="86"/>
      <c r="B420" s="74">
        <v>413304</v>
      </c>
      <c r="C420" s="15"/>
      <c r="D420" s="11" t="s">
        <v>326</v>
      </c>
      <c r="E420" s="240">
        <v>9142558.98626</v>
      </c>
      <c r="F420" s="101">
        <v>8760048.49916</v>
      </c>
      <c r="G420" s="90">
        <f>+F420/E420*100</f>
        <v>95.81615510848918</v>
      </c>
      <c r="H420" s="90">
        <f>+G420/H$26*100-100</f>
        <v>-9.947222642397392</v>
      </c>
      <c r="I420" s="101">
        <v>9311599.334297016</v>
      </c>
      <c r="J420" s="355">
        <f>+'[2]REALJAN-JUN,PROJ  (2)'!AR415</f>
        <v>10040580.345581999</v>
      </c>
      <c r="K420" s="246">
        <f>+J420/E420*100</f>
        <v>109.8224289356142</v>
      </c>
      <c r="L420" s="246">
        <f>+K420/$L$26*100-100</f>
        <v>3.801917708520037</v>
      </c>
      <c r="M420" s="101">
        <f>10873265-720000</f>
        <v>10153265</v>
      </c>
      <c r="N420" s="90">
        <f>+M420/J420*100</f>
        <v>101.1222922434716</v>
      </c>
      <c r="O420" s="90">
        <f>+N420/O$26*100-100</f>
        <v>-3.6012466697124808</v>
      </c>
      <c r="P420" s="130"/>
      <c r="Q420" s="431"/>
      <c r="R420" s="431"/>
      <c r="S420" s="431"/>
      <c r="T420" s="431"/>
      <c r="U420" s="460"/>
      <c r="V420" s="460"/>
      <c r="W420" s="460"/>
      <c r="X420" s="460"/>
      <c r="Y420" s="459">
        <f>+E377</f>
        <v>66687828.62573</v>
      </c>
      <c r="Z420" s="463">
        <f>+Y420/Y423</f>
        <v>0.821363770732517</v>
      </c>
      <c r="AA420" s="466">
        <f>+AB419*Z420</f>
        <v>2587626.3945887717</v>
      </c>
      <c r="AB420" s="459"/>
      <c r="AC420" s="460"/>
      <c r="AD420" s="460"/>
    </row>
    <row r="421" spans="1:30" ht="16.5" customHeight="1" hidden="1">
      <c r="A421" s="86"/>
      <c r="B421" s="74"/>
      <c r="C421" s="15"/>
      <c r="D421" s="11"/>
      <c r="E421" s="240" t="e">
        <f>+'fn 2004TP'!#REF!</f>
        <v>#REF!</v>
      </c>
      <c r="F421" s="111">
        <v>0</v>
      </c>
      <c r="G421" s="90" t="e">
        <f>+F421/E421*100</f>
        <v>#REF!</v>
      </c>
      <c r="H421" s="89"/>
      <c r="I421" s="109"/>
      <c r="J421" s="355">
        <f>+'[2]REALJAN-JUN,PROJ  (2)'!AR416</f>
        <v>0</v>
      </c>
      <c r="K421" s="246" t="e">
        <f>+J421/E421*100</f>
        <v>#REF!</v>
      </c>
      <c r="L421" s="246" t="e">
        <f>+K421/$L$26*100-100</f>
        <v>#REF!</v>
      </c>
      <c r="M421" s="89"/>
      <c r="N421" s="89"/>
      <c r="O421" s="89"/>
      <c r="P421" s="130"/>
      <c r="Q421" s="130"/>
      <c r="R421" s="130"/>
      <c r="S421" s="130"/>
      <c r="T421" s="130"/>
      <c r="U421" s="460"/>
      <c r="V421" s="460"/>
      <c r="W421" s="460"/>
      <c r="X421" s="460"/>
      <c r="Y421" s="460"/>
      <c r="Z421" s="463"/>
      <c r="AA421" s="466"/>
      <c r="AB421" s="459"/>
      <c r="AC421" s="460"/>
      <c r="AD421" s="460"/>
    </row>
    <row r="422" spans="1:30" ht="16.5" thickBot="1">
      <c r="A422" s="86"/>
      <c r="B422" s="74">
        <v>413305</v>
      </c>
      <c r="C422" s="15"/>
      <c r="D422" s="11" t="s">
        <v>327</v>
      </c>
      <c r="E422" s="240">
        <v>2334668.99997</v>
      </c>
      <c r="F422" s="101">
        <v>2311544.256</v>
      </c>
      <c r="G422" s="90">
        <f>+F422/E422*100</f>
        <v>99.00950653089167</v>
      </c>
      <c r="H422" s="90">
        <f>+G422/H$26*100-100</f>
        <v>-6.945952508560467</v>
      </c>
      <c r="I422" s="101">
        <v>2195420.2369999997</v>
      </c>
      <c r="J422" s="355">
        <f>+'[2]REALJAN-JUN,PROJ  (2)'!AR417</f>
        <v>2465830</v>
      </c>
      <c r="K422" s="246">
        <f>+J422/E422*100</f>
        <v>105.61796982920002</v>
      </c>
      <c r="L422" s="246">
        <f>+K422/$L$26*100-100</f>
        <v>-0.17205120113419525</v>
      </c>
      <c r="M422" s="425">
        <f>+J422*M$29/100</f>
        <v>2586655.67</v>
      </c>
      <c r="N422" s="90">
        <f>+M422/J422*100</f>
        <v>104.89999999999999</v>
      </c>
      <c r="O422" s="90">
        <f>+N422/O$26*100-100</f>
        <v>0</v>
      </c>
      <c r="P422" s="130"/>
      <c r="Q422" s="130"/>
      <c r="R422" s="130"/>
      <c r="S422" s="130"/>
      <c r="T422" s="130"/>
      <c r="U422" s="460"/>
      <c r="V422" s="460"/>
      <c r="W422" s="460"/>
      <c r="X422" s="460"/>
      <c r="Y422" s="459">
        <f>+E391</f>
        <v>14503759.07512</v>
      </c>
      <c r="Z422" s="463">
        <f>+Y422/Y423</f>
        <v>0.1786362292674831</v>
      </c>
      <c r="AA422" s="466">
        <f>+AB419*Z422</f>
        <v>562776.0054112291</v>
      </c>
      <c r="AB422" s="459"/>
      <c r="AC422" s="460"/>
      <c r="AD422" s="460"/>
    </row>
    <row r="423" spans="1:30" ht="16.5" thickBot="1">
      <c r="A423" s="86"/>
      <c r="B423" s="74">
        <v>413310</v>
      </c>
      <c r="C423" s="15"/>
      <c r="D423" s="411" t="s">
        <v>328</v>
      </c>
      <c r="E423" s="240"/>
      <c r="F423" s="101"/>
      <c r="G423" s="90"/>
      <c r="H423" s="90"/>
      <c r="I423" s="101"/>
      <c r="J423" s="355"/>
      <c r="K423" s="246"/>
      <c r="L423" s="413"/>
      <c r="M423" s="416">
        <v>3431000</v>
      </c>
      <c r="N423" s="414"/>
      <c r="O423" s="90"/>
      <c r="P423" s="130"/>
      <c r="Q423" s="130"/>
      <c r="R423" s="130"/>
      <c r="S423" s="130"/>
      <c r="T423" s="130"/>
      <c r="Y423" s="459">
        <f>+Y422+Y420</f>
        <v>81191587.70085</v>
      </c>
      <c r="Z423" s="463">
        <f>+Z422+Z420</f>
        <v>1</v>
      </c>
      <c r="AA423" s="459">
        <f>+AA422+AA420</f>
        <v>3150402.400000001</v>
      </c>
      <c r="AB423" s="459"/>
      <c r="AC423" s="460"/>
      <c r="AD423" s="460"/>
    </row>
    <row r="424" spans="1:28" ht="15">
      <c r="A424" s="86"/>
      <c r="B424" s="473" t="s">
        <v>175</v>
      </c>
      <c r="C424" s="474"/>
      <c r="D424" s="475" t="s">
        <v>329</v>
      </c>
      <c r="E424" s="476"/>
      <c r="F424" s="477"/>
      <c r="G424" s="478"/>
      <c r="H424" s="478"/>
      <c r="I424" s="477"/>
      <c r="J424" s="477"/>
      <c r="K424" s="478"/>
      <c r="L424" s="478"/>
      <c r="M424" s="479"/>
      <c r="N424" s="478"/>
      <c r="O424" s="478"/>
      <c r="P424" s="130"/>
      <c r="Q424" s="130"/>
      <c r="R424" s="130"/>
      <c r="S424" s="130"/>
      <c r="T424" s="130"/>
      <c r="AA424" s="459"/>
      <c r="AB424" s="459">
        <f>+AB419+AB412</f>
        <v>3938003.0000000005</v>
      </c>
    </row>
    <row r="425" spans="1:27" ht="15.75">
      <c r="A425" s="86"/>
      <c r="B425" s="72">
        <v>4134</v>
      </c>
      <c r="C425" s="8"/>
      <c r="D425" s="9" t="s">
        <v>330</v>
      </c>
      <c r="E425" s="239">
        <f>+E426+E428</f>
        <v>6081.907190000001</v>
      </c>
      <c r="F425" s="239">
        <f>+F426+F428</f>
        <v>5641.037319999999</v>
      </c>
      <c r="G425" s="90">
        <f>+F425/E425*100</f>
        <v>92.75112466818157</v>
      </c>
      <c r="H425" s="90">
        <f>+G425/H$26*100-100</f>
        <v>-12.827890349453412</v>
      </c>
      <c r="I425" s="239">
        <v>6118.351668808</v>
      </c>
      <c r="J425" s="91">
        <f>+J426+J428</f>
        <v>7720.73504</v>
      </c>
      <c r="K425" s="246">
        <f>+J425/E425*100</f>
        <v>126.94595295197193</v>
      </c>
      <c r="L425" s="246">
        <f>+K425/$L$26*100-100</f>
        <v>19.9867230169867</v>
      </c>
      <c r="M425" s="91">
        <f>+M426+M428</f>
        <v>8299.790168</v>
      </c>
      <c r="N425" s="90">
        <f>+M425/J425*100</f>
        <v>107.5</v>
      </c>
      <c r="O425" s="90">
        <f>+N425/O$26*100-100</f>
        <v>2.4785510009532885</v>
      </c>
      <c r="P425" s="130"/>
      <c r="Q425" s="130"/>
      <c r="R425" s="130"/>
      <c r="S425" s="130"/>
      <c r="T425" s="130"/>
      <c r="AA425" s="465">
        <f>SUM(AA420:AA422)+SUM(AA414:AA416)</f>
        <v>3938003.000000001</v>
      </c>
    </row>
    <row r="426" spans="1:20" ht="15.75">
      <c r="A426" s="86"/>
      <c r="B426" s="74">
        <v>413404</v>
      </c>
      <c r="C426" s="10"/>
      <c r="D426" s="16" t="s">
        <v>331</v>
      </c>
      <c r="E426" s="100">
        <v>2141.4984900000004</v>
      </c>
      <c r="F426" s="91">
        <v>1951.8426399999998</v>
      </c>
      <c r="G426" s="90">
        <f>+F426/E426*100</f>
        <v>91.14377848569015</v>
      </c>
      <c r="H426" s="90">
        <f>+G426/H$26*100-100</f>
        <v>-14.3385540548025</v>
      </c>
      <c r="I426" s="91">
        <v>2197.78571596</v>
      </c>
      <c r="J426" s="376">
        <f>+'[2]REALJAN-JUN,PROJ  (2)'!AR420</f>
        <v>2677.841088</v>
      </c>
      <c r="K426" s="246">
        <f>+J426/E426*100</f>
        <v>125.04520084905593</v>
      </c>
      <c r="L426" s="246">
        <f>+K426/$L$26*100-100</f>
        <v>18.19017093483548</v>
      </c>
      <c r="M426" s="66">
        <f>+J426*M$41/100</f>
        <v>2878.6791696</v>
      </c>
      <c r="N426" s="90">
        <f>+M426/J426*100</f>
        <v>107.5</v>
      </c>
      <c r="O426" s="90">
        <f>+N426/O$26*100-100</f>
        <v>2.4785510009532885</v>
      </c>
      <c r="P426" s="130"/>
      <c r="Q426" s="130"/>
      <c r="R426" s="130"/>
      <c r="S426" s="130"/>
      <c r="T426" s="130"/>
    </row>
    <row r="427" spans="1:20" ht="15.75">
      <c r="A427" s="86"/>
      <c r="B427" s="74"/>
      <c r="C427" s="10"/>
      <c r="D427" s="16" t="s">
        <v>332</v>
      </c>
      <c r="E427" s="100"/>
      <c r="F427" s="66">
        <v>0</v>
      </c>
      <c r="G427" s="90"/>
      <c r="H427" s="90"/>
      <c r="I427" s="91"/>
      <c r="J427" s="376"/>
      <c r="K427" s="246"/>
      <c r="L427" s="246"/>
      <c r="M427" s="66"/>
      <c r="N427" s="90"/>
      <c r="O427" s="90"/>
      <c r="P427" s="130"/>
      <c r="Q427" s="130"/>
      <c r="R427" s="130"/>
      <c r="S427" s="130"/>
      <c r="T427" s="130"/>
    </row>
    <row r="428" spans="1:20" ht="15.75">
      <c r="A428" s="86"/>
      <c r="B428" s="74">
        <v>413405</v>
      </c>
      <c r="C428" s="10"/>
      <c r="D428" s="16" t="s">
        <v>333</v>
      </c>
      <c r="E428" s="100">
        <v>3940.4087000000004</v>
      </c>
      <c r="F428" s="91">
        <v>3689.19468</v>
      </c>
      <c r="G428" s="90">
        <f>+F428/E428*100</f>
        <v>93.62467096369977</v>
      </c>
      <c r="H428" s="90">
        <f>+G428/H$26*100-100</f>
        <v>-12.006888192011502</v>
      </c>
      <c r="I428" s="91">
        <v>3920.5659528480005</v>
      </c>
      <c r="J428" s="376">
        <f>+'[2]REALJAN-JUN,PROJ  (2)'!AR422</f>
        <v>5042.893951999999</v>
      </c>
      <c r="K428" s="246">
        <f>+J428/E428*100</f>
        <v>127.97895690363283</v>
      </c>
      <c r="L428" s="246">
        <f>+K428/$L$26*100-100</f>
        <v>20.9630972624129</v>
      </c>
      <c r="M428" s="66">
        <f>+J428*M$41/100</f>
        <v>5421.1109983999995</v>
      </c>
      <c r="N428" s="90">
        <f>+M428/J428*100</f>
        <v>107.5</v>
      </c>
      <c r="O428" s="90">
        <f>+N428/O$26*100-100</f>
        <v>2.4785510009532885</v>
      </c>
      <c r="P428" s="130"/>
      <c r="Q428" s="130"/>
      <c r="R428" s="130"/>
      <c r="S428" s="130"/>
      <c r="T428" s="130"/>
    </row>
    <row r="429" spans="1:20" ht="15.75">
      <c r="A429" s="86"/>
      <c r="B429" s="74"/>
      <c r="C429" s="10"/>
      <c r="D429" s="16" t="s">
        <v>332</v>
      </c>
      <c r="E429" s="100"/>
      <c r="F429" s="66"/>
      <c r="G429" s="90"/>
      <c r="H429" s="90"/>
      <c r="I429" s="91"/>
      <c r="J429" s="66"/>
      <c r="K429" s="246"/>
      <c r="L429" s="246"/>
      <c r="M429" s="66"/>
      <c r="N429" s="90"/>
      <c r="O429" s="90"/>
      <c r="P429" s="130"/>
      <c r="Q429" s="130"/>
      <c r="R429" s="130"/>
      <c r="S429" s="130"/>
      <c r="T429" s="130"/>
    </row>
    <row r="430" spans="1:20" ht="15.75">
      <c r="A430" s="86"/>
      <c r="B430" s="74"/>
      <c r="C430" s="15"/>
      <c r="D430" s="11"/>
      <c r="E430" s="100"/>
      <c r="F430" s="66"/>
      <c r="G430" s="90"/>
      <c r="H430" s="90"/>
      <c r="I430" s="91"/>
      <c r="J430" s="66"/>
      <c r="K430" s="246"/>
      <c r="L430" s="246"/>
      <c r="M430" s="66"/>
      <c r="N430" s="90"/>
      <c r="O430" s="90"/>
      <c r="P430" s="130"/>
      <c r="Q430" s="130"/>
      <c r="R430" s="130"/>
      <c r="S430" s="130"/>
      <c r="T430" s="130"/>
    </row>
    <row r="431" spans="1:20" ht="16.5" customHeight="1" hidden="1">
      <c r="A431" s="86"/>
      <c r="B431" s="74"/>
      <c r="C431" s="15"/>
      <c r="D431" s="11"/>
      <c r="E431" s="100" t="e">
        <f>+'fn 2004TP'!#REF!</f>
        <v>#REF!</v>
      </c>
      <c r="F431" s="66">
        <v>0</v>
      </c>
      <c r="G431" s="90" t="e">
        <f>+F431/E431*100</f>
        <v>#REF!</v>
      </c>
      <c r="H431" s="90"/>
      <c r="I431" s="91"/>
      <c r="J431" s="66"/>
      <c r="K431" s="246" t="e">
        <f>+J431/E431*100</f>
        <v>#REF!</v>
      </c>
      <c r="L431" s="246" t="e">
        <f>+K431/$L$26*100-100</f>
        <v>#REF!</v>
      </c>
      <c r="M431" s="66"/>
      <c r="N431" s="90"/>
      <c r="O431" s="90"/>
      <c r="P431" s="130"/>
      <c r="Q431" s="130"/>
      <c r="R431" s="130"/>
      <c r="S431" s="130"/>
      <c r="T431" s="130"/>
    </row>
    <row r="432" spans="1:20" ht="16.5" customHeight="1" hidden="1">
      <c r="A432" s="86"/>
      <c r="B432" s="78"/>
      <c r="C432" s="10"/>
      <c r="D432" s="11"/>
      <c r="E432" s="100" t="e">
        <f>+'fn 2004TP'!#REF!</f>
        <v>#REF!</v>
      </c>
      <c r="F432" s="89">
        <v>0</v>
      </c>
      <c r="G432" s="90" t="e">
        <f>+F432/E432*100</f>
        <v>#REF!</v>
      </c>
      <c r="H432" s="89"/>
      <c r="I432" s="91"/>
      <c r="J432" s="89"/>
      <c r="K432" s="246" t="e">
        <f>+J432/E432*100</f>
        <v>#REF!</v>
      </c>
      <c r="L432" s="246" t="e">
        <f>+K432/$L$26*100-100</f>
        <v>#REF!</v>
      </c>
      <c r="M432" s="89"/>
      <c r="N432" s="89"/>
      <c r="O432" s="89"/>
      <c r="P432" s="130"/>
      <c r="Q432" s="130"/>
      <c r="R432" s="130"/>
      <c r="S432" s="130"/>
      <c r="T432" s="130"/>
    </row>
    <row r="433" spans="1:138" ht="15.75">
      <c r="A433" s="87"/>
      <c r="B433" s="72">
        <v>414</v>
      </c>
      <c r="C433" s="8"/>
      <c r="D433" s="9" t="s">
        <v>334</v>
      </c>
      <c r="E433" s="101">
        <f>+E437+E440</f>
        <v>2608194.12619</v>
      </c>
      <c r="F433" s="101">
        <f>SUM(F435:F437)+F440</f>
        <v>1556786.104</v>
      </c>
      <c r="G433" s="90">
        <f>+F433/E433*100</f>
        <v>59.68827582148278</v>
      </c>
      <c r="H433" s="90">
        <f>+G433/H$26*100-100</f>
        <v>-43.90199640838085</v>
      </c>
      <c r="I433" s="101">
        <f>+I437+I440</f>
        <v>1800920.03</v>
      </c>
      <c r="J433" s="101">
        <f>+J437+J440</f>
        <v>2940107</v>
      </c>
      <c r="K433" s="246">
        <f>+J433/E433*100</f>
        <v>112.72577338002259</v>
      </c>
      <c r="L433" s="246">
        <f>+K433/$L$26*100-100</f>
        <v>6.546099603045931</v>
      </c>
      <c r="M433" s="101">
        <f>SUM(M435:M437)+M440</f>
        <v>2953402.643</v>
      </c>
      <c r="N433" s="90">
        <f>+M433/J433*100</f>
        <v>100.45221629688987</v>
      </c>
      <c r="O433" s="90">
        <f>+N433/O$26*100-100</f>
        <v>-4.240022595910517</v>
      </c>
      <c r="P433" s="184"/>
      <c r="Q433" s="184"/>
      <c r="R433" s="184"/>
      <c r="S433" s="184"/>
      <c r="T433" s="184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</row>
    <row r="434" spans="1:138" ht="15.75">
      <c r="A434" s="87"/>
      <c r="B434" s="308"/>
      <c r="C434" s="166"/>
      <c r="D434" s="251" t="s">
        <v>48</v>
      </c>
      <c r="E434" s="252">
        <f aca="true" t="shared" si="76" ref="E434:J434">+E433/E$562*100</f>
        <v>0.049355542296046495</v>
      </c>
      <c r="F434" s="252">
        <f t="shared" si="76"/>
        <v>0.030858000079286425</v>
      </c>
      <c r="G434" s="252">
        <f t="shared" si="76"/>
        <v>62.521853967671284</v>
      </c>
      <c r="H434" s="252" t="e">
        <f t="shared" si="76"/>
        <v>#DIV/0!</v>
      </c>
      <c r="I434" s="252">
        <f t="shared" si="76"/>
        <v>0.032654349513154796</v>
      </c>
      <c r="J434" s="252">
        <f t="shared" si="76"/>
        <v>0.05160526916258579</v>
      </c>
      <c r="K434" s="98"/>
      <c r="L434" s="98"/>
      <c r="M434" s="252"/>
      <c r="N434" s="99"/>
      <c r="O434" s="99"/>
      <c r="P434" s="184"/>
      <c r="Q434" s="184"/>
      <c r="R434" s="184"/>
      <c r="S434" s="184"/>
      <c r="T434" s="184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</row>
    <row r="435" spans="1:20" ht="16.5" customHeight="1" hidden="1">
      <c r="A435" s="84"/>
      <c r="B435" s="81">
        <v>4140</v>
      </c>
      <c r="C435" s="13"/>
      <c r="D435" s="14" t="s">
        <v>335</v>
      </c>
      <c r="E435" s="100" t="e">
        <f>+'fn 2004TP'!#REF!</f>
        <v>#REF!</v>
      </c>
      <c r="F435" s="66">
        <v>0</v>
      </c>
      <c r="G435" s="90" t="e">
        <f>+F435/E435*100</f>
        <v>#REF!</v>
      </c>
      <c r="H435" s="66"/>
      <c r="I435" s="90"/>
      <c r="J435" s="66"/>
      <c r="K435" s="246" t="e">
        <f>+J435/E435*100</f>
        <v>#REF!</v>
      </c>
      <c r="L435" s="246" t="e">
        <f>+K435/$L$26*100-100</f>
        <v>#REF!</v>
      </c>
      <c r="M435" s="66"/>
      <c r="N435" s="66"/>
      <c r="O435" s="66"/>
      <c r="P435" s="130"/>
      <c r="Q435" s="130"/>
      <c r="R435" s="130"/>
      <c r="S435" s="130"/>
      <c r="T435" s="130"/>
    </row>
    <row r="436" spans="1:20" ht="16.5" customHeight="1" hidden="1">
      <c r="A436" s="84"/>
      <c r="B436" s="81">
        <v>4141</v>
      </c>
      <c r="C436" s="13"/>
      <c r="D436" s="14" t="s">
        <v>336</v>
      </c>
      <c r="E436" s="100" t="e">
        <f>+'fn 2004TP'!#REF!</f>
        <v>#REF!</v>
      </c>
      <c r="F436" s="66">
        <v>0</v>
      </c>
      <c r="G436" s="90" t="e">
        <f>+F436/E436*100</f>
        <v>#REF!</v>
      </c>
      <c r="H436" s="66"/>
      <c r="I436" s="90"/>
      <c r="J436" s="66"/>
      <c r="K436" s="246" t="e">
        <f>+J436/E436*100</f>
        <v>#REF!</v>
      </c>
      <c r="L436" s="246" t="e">
        <f>+K436/$L$26*100-100</f>
        <v>#REF!</v>
      </c>
      <c r="M436" s="66"/>
      <c r="N436" s="66"/>
      <c r="O436" s="66"/>
      <c r="P436" s="130"/>
      <c r="Q436" s="130"/>
      <c r="R436" s="130"/>
      <c r="S436" s="130"/>
      <c r="T436" s="130"/>
    </row>
    <row r="437" spans="1:20" ht="15">
      <c r="A437" s="84"/>
      <c r="B437" s="81">
        <v>4142</v>
      </c>
      <c r="C437" s="13"/>
      <c r="D437" s="14" t="s">
        <v>337</v>
      </c>
      <c r="E437" s="103">
        <f>+E438+E439</f>
        <v>2608194.12619</v>
      </c>
      <c r="F437" s="103">
        <f>+F438+F439</f>
        <v>1556786.104</v>
      </c>
      <c r="G437" s="90">
        <f>+F437/E437*100</f>
        <v>59.68827582148278</v>
      </c>
      <c r="H437" s="90">
        <f>+G437/H$26*100-100</f>
        <v>-43.90199640838085</v>
      </c>
      <c r="I437" s="103">
        <v>1800920.03</v>
      </c>
      <c r="J437" s="66">
        <f>SUM(J438:J439)</f>
        <v>2940107</v>
      </c>
      <c r="K437" s="246">
        <f>+J437/E437*100</f>
        <v>112.72577338002259</v>
      </c>
      <c r="L437" s="246">
        <f>+K437/$L$26*100-100</f>
        <v>6.546099603045931</v>
      </c>
      <c r="M437" s="66">
        <f>SUM(M438:M439)</f>
        <v>2953402.643</v>
      </c>
      <c r="N437" s="90">
        <f>+M437/J437*100</f>
        <v>100.45221629688987</v>
      </c>
      <c r="O437" s="90">
        <f>+N437/O$26*100-100</f>
        <v>-4.240022595910517</v>
      </c>
      <c r="P437" s="130"/>
      <c r="Q437" s="130"/>
      <c r="R437" s="130"/>
      <c r="S437" s="130"/>
      <c r="T437" s="130"/>
    </row>
    <row r="438" spans="1:20" ht="15">
      <c r="A438" s="84"/>
      <c r="B438" s="81">
        <v>414200</v>
      </c>
      <c r="C438" s="13"/>
      <c r="D438" s="14" t="s">
        <v>338</v>
      </c>
      <c r="E438" s="100">
        <v>560412.9232000001</v>
      </c>
      <c r="F438" s="66">
        <v>549638.976</v>
      </c>
      <c r="G438" s="90">
        <f>+F438/E438*100</f>
        <v>98.07749843838718</v>
      </c>
      <c r="H438" s="90">
        <f>+G438/H$26*100-100</f>
        <v>-7.821899963921837</v>
      </c>
      <c r="I438" s="66">
        <v>597873.9619999999</v>
      </c>
      <c r="J438" s="376">
        <f>+'[2]REALJAN-JUN,PROJ  (2)'!AR432</f>
        <v>559707</v>
      </c>
      <c r="K438" s="246">
        <f>+J438/E438*100</f>
        <v>99.87403516750307</v>
      </c>
      <c r="L438" s="246">
        <f>+K438/$L$26*100-100</f>
        <v>-5.601100975895022</v>
      </c>
      <c r="M438" s="66">
        <f>+J438*M$29/100-20200</f>
        <v>566932.643</v>
      </c>
      <c r="N438" s="90">
        <f>+M438/J438*100</f>
        <v>101.2909688461999</v>
      </c>
      <c r="O438" s="90">
        <f>+N438/O$26*100-100</f>
        <v>-3.4404491456626403</v>
      </c>
      <c r="P438" s="130"/>
      <c r="Q438" s="130"/>
      <c r="R438" s="130"/>
      <c r="S438" s="130"/>
      <c r="T438" s="130"/>
    </row>
    <row r="439" spans="1:20" ht="15">
      <c r="A439" s="84"/>
      <c r="B439" s="81">
        <v>414201</v>
      </c>
      <c r="C439" s="13"/>
      <c r="D439" s="14" t="s">
        <v>339</v>
      </c>
      <c r="E439" s="100">
        <v>2047781.20299</v>
      </c>
      <c r="F439" s="66">
        <v>1007147.128</v>
      </c>
      <c r="G439" s="90">
        <f>+F439/E439*100</f>
        <v>49.18236023113444</v>
      </c>
      <c r="H439" s="90">
        <f>+G439/H$26*100-100</f>
        <v>-53.77597722637741</v>
      </c>
      <c r="I439" s="66">
        <v>1203046.068</v>
      </c>
      <c r="J439" s="376">
        <f>+'[2]REALJAN-JUN,PROJ  (2)'!AR433</f>
        <v>2380400</v>
      </c>
      <c r="K439" s="246">
        <f>+J439/E439*100</f>
        <v>116.24288749815351</v>
      </c>
      <c r="L439" s="246">
        <f>+K439/$L$26*100-100</f>
        <v>9.870404062526944</v>
      </c>
      <c r="M439" s="66">
        <v>2386470</v>
      </c>
      <c r="N439" s="90">
        <f>+M439/J439*100</f>
        <v>100.25499915980507</v>
      </c>
      <c r="O439" s="90">
        <f>+N439/O$26*100-100</f>
        <v>-4.4280274930361685</v>
      </c>
      <c r="P439" s="130"/>
      <c r="Q439" s="130"/>
      <c r="R439" s="130"/>
      <c r="S439" s="130"/>
      <c r="T439" s="130"/>
    </row>
    <row r="440" spans="1:20" ht="15">
      <c r="A440" s="84"/>
      <c r="B440" s="81">
        <v>4143</v>
      </c>
      <c r="C440" s="13"/>
      <c r="D440" s="14" t="s">
        <v>340</v>
      </c>
      <c r="E440" s="100">
        <v>0</v>
      </c>
      <c r="F440" s="66">
        <v>0</v>
      </c>
      <c r="G440" s="90"/>
      <c r="H440" s="66"/>
      <c r="I440" s="91">
        <v>0</v>
      </c>
      <c r="J440" s="376">
        <f>+'[2]REALJAN-JUN,PROJ  (2)'!AR434</f>
        <v>0</v>
      </c>
      <c r="K440" s="246"/>
      <c r="L440" s="246"/>
      <c r="M440" s="66">
        <v>0</v>
      </c>
      <c r="N440" s="66"/>
      <c r="O440" s="66"/>
      <c r="P440" s="130"/>
      <c r="Q440" s="130"/>
      <c r="R440" s="130"/>
      <c r="S440" s="130"/>
      <c r="T440" s="130"/>
    </row>
    <row r="441" spans="1:20" ht="15">
      <c r="A441" s="84"/>
      <c r="B441" s="81"/>
      <c r="C441" s="13"/>
      <c r="D441" s="14"/>
      <c r="E441" s="100"/>
      <c r="F441" s="66"/>
      <c r="G441" s="90"/>
      <c r="H441" s="66"/>
      <c r="I441" s="91"/>
      <c r="J441" s="66"/>
      <c r="K441" s="246"/>
      <c r="L441" s="246"/>
      <c r="M441" s="66"/>
      <c r="N441" s="66"/>
      <c r="O441" s="66"/>
      <c r="P441" s="130"/>
      <c r="Q441" s="130"/>
      <c r="R441" s="130"/>
      <c r="S441" s="130"/>
      <c r="T441" s="130"/>
    </row>
    <row r="442" spans="1:20" ht="15.75">
      <c r="A442" s="84"/>
      <c r="B442" s="82">
        <v>42</v>
      </c>
      <c r="C442" s="8" t="s">
        <v>341</v>
      </c>
      <c r="D442" s="9" t="s">
        <v>342</v>
      </c>
      <c r="E442" s="101">
        <f>E445</f>
        <v>1167039.92692</v>
      </c>
      <c r="F442" s="101">
        <f>F445</f>
        <v>1172975</v>
      </c>
      <c r="G442" s="90">
        <f>+F442/E442*100</f>
        <v>100.50855784306056</v>
      </c>
      <c r="H442" s="90">
        <f>+G442/H$26*100-100</f>
        <v>-5.53706969637166</v>
      </c>
      <c r="I442" s="101">
        <f>I445</f>
        <v>1538000</v>
      </c>
      <c r="J442" s="101">
        <f>+J445</f>
        <v>1123077</v>
      </c>
      <c r="K442" s="246">
        <f>+J442/E442*100</f>
        <v>96.23295433978637</v>
      </c>
      <c r="L442" s="246">
        <f>+K442/$L$26*100-100</f>
        <v>-9.04257623838717</v>
      </c>
      <c r="M442" s="101">
        <f>M445</f>
        <v>1178107.773</v>
      </c>
      <c r="N442" s="90">
        <f>+M442/J442*100</f>
        <v>104.89999999999999</v>
      </c>
      <c r="O442" s="90">
        <f>+N442/O$26*100-100</f>
        <v>0</v>
      </c>
      <c r="P442" s="130"/>
      <c r="Q442" s="130"/>
      <c r="R442" s="130"/>
      <c r="S442" s="130"/>
      <c r="T442" s="130"/>
    </row>
    <row r="443" spans="1:20" ht="15.75">
      <c r="A443" s="84"/>
      <c r="B443" s="308"/>
      <c r="C443" s="166"/>
      <c r="D443" s="251" t="s">
        <v>48</v>
      </c>
      <c r="E443" s="252">
        <f aca="true" t="shared" si="77" ref="E443:J443">+E442/E$562*100</f>
        <v>0.02208420297242824</v>
      </c>
      <c r="F443" s="252">
        <f t="shared" si="77"/>
        <v>0.023250247770069375</v>
      </c>
      <c r="G443" s="252">
        <f t="shared" si="77"/>
        <v>105.27999493165736</v>
      </c>
      <c r="H443" s="252" t="e">
        <f t="shared" si="77"/>
        <v>#DIV/0!</v>
      </c>
      <c r="I443" s="252">
        <f t="shared" si="77"/>
        <v>0.02788707367046835</v>
      </c>
      <c r="J443" s="252">
        <f t="shared" si="77"/>
        <v>0.019712442736032856</v>
      </c>
      <c r="K443" s="98"/>
      <c r="L443" s="98"/>
      <c r="M443" s="252">
        <f>+M442/M$562*100</f>
        <v>0.019042279902372793</v>
      </c>
      <c r="N443" s="99"/>
      <c r="O443" s="99"/>
      <c r="P443" s="130"/>
      <c r="Q443" s="130"/>
      <c r="R443" s="130"/>
      <c r="S443" s="130"/>
      <c r="T443" s="130"/>
    </row>
    <row r="444" spans="1:20" ht="16.5" customHeight="1" hidden="1">
      <c r="A444" s="86"/>
      <c r="B444" s="185"/>
      <c r="C444" s="15"/>
      <c r="D444" s="11"/>
      <c r="E444" s="100" t="e">
        <f>+'fn 2004TP'!#REF!</f>
        <v>#REF!</v>
      </c>
      <c r="F444" s="89">
        <v>0</v>
      </c>
      <c r="G444" s="90" t="e">
        <f>+F444/E444*100</f>
        <v>#REF!</v>
      </c>
      <c r="H444" s="89"/>
      <c r="I444" s="90"/>
      <c r="J444" s="89"/>
      <c r="K444" s="246" t="e">
        <f>+J444/E444*100</f>
        <v>#REF!</v>
      </c>
      <c r="L444" s="246" t="e">
        <f>+K444/$L$26*100-100</f>
        <v>#REF!</v>
      </c>
      <c r="M444" s="89"/>
      <c r="N444" s="89"/>
      <c r="O444" s="89"/>
      <c r="P444" s="130"/>
      <c r="Q444" s="130"/>
      <c r="R444" s="130"/>
      <c r="S444" s="130"/>
      <c r="T444" s="130"/>
    </row>
    <row r="445" spans="1:20" ht="16.5" thickBot="1">
      <c r="A445" s="84"/>
      <c r="B445" s="82">
        <v>420</v>
      </c>
      <c r="C445" s="8"/>
      <c r="D445" s="9" t="s">
        <v>343</v>
      </c>
      <c r="E445" s="100">
        <v>1167039.92692</v>
      </c>
      <c r="F445" s="66">
        <v>1172975</v>
      </c>
      <c r="G445" s="90">
        <f>+F445/E445*100</f>
        <v>100.50855784306056</v>
      </c>
      <c r="H445" s="90">
        <f>+G445/H$26*100-100</f>
        <v>-5.53706969637166</v>
      </c>
      <c r="I445" s="66">
        <v>1538000</v>
      </c>
      <c r="J445" s="376">
        <f>+'[2]REALJAN-JUN,PROJ  (2)'!AR439</f>
        <v>1123077</v>
      </c>
      <c r="K445" s="246">
        <f>+J445/E445*100</f>
        <v>96.23295433978637</v>
      </c>
      <c r="L445" s="246">
        <f>+K445/$L$26*100-100</f>
        <v>-9.04257623838717</v>
      </c>
      <c r="M445" s="66">
        <f>+J445*M$29/100</f>
        <v>1178107.773</v>
      </c>
      <c r="N445" s="90">
        <f>+M445/J445*100</f>
        <v>104.89999999999999</v>
      </c>
      <c r="O445" s="90">
        <f>+N445/O$26*100-100</f>
        <v>0</v>
      </c>
      <c r="P445" s="130"/>
      <c r="Q445" s="130"/>
      <c r="R445" s="130"/>
      <c r="S445" s="130"/>
      <c r="T445" s="130"/>
    </row>
    <row r="446" spans="1:20" ht="15.75" thickTop="1">
      <c r="A446" s="84"/>
      <c r="B446" s="186" t="s">
        <v>5</v>
      </c>
      <c r="C446" s="187"/>
      <c r="D446" s="188"/>
      <c r="E446" s="113"/>
      <c r="F446" s="113"/>
      <c r="G446" s="113"/>
      <c r="H446" s="113"/>
      <c r="I446" s="115"/>
      <c r="J446" s="113"/>
      <c r="K446" s="113"/>
      <c r="L446" s="113"/>
      <c r="M446" s="113"/>
      <c r="N446" s="113"/>
      <c r="O446" s="113"/>
      <c r="P446" s="130"/>
      <c r="Q446" s="130"/>
      <c r="R446" s="130"/>
      <c r="S446" s="130"/>
      <c r="T446" s="130"/>
    </row>
    <row r="447" spans="1:20" ht="15.75">
      <c r="A447" s="84"/>
      <c r="B447" s="189" t="s">
        <v>5</v>
      </c>
      <c r="C447" s="166" t="s">
        <v>344</v>
      </c>
      <c r="D447" s="248" t="s">
        <v>345</v>
      </c>
      <c r="E447" s="256"/>
      <c r="F447" s="256" t="s">
        <v>5</v>
      </c>
      <c r="G447" s="256"/>
      <c r="H447" s="256"/>
      <c r="I447" s="250" t="s">
        <v>5</v>
      </c>
      <c r="J447" s="256"/>
      <c r="K447" s="256"/>
      <c r="L447" s="256"/>
      <c r="M447" s="256" t="s">
        <v>5</v>
      </c>
      <c r="N447" s="256"/>
      <c r="O447" s="256"/>
      <c r="P447" s="130"/>
      <c r="Q447" s="130"/>
      <c r="R447" s="130"/>
      <c r="S447" s="130"/>
      <c r="T447" s="130"/>
    </row>
    <row r="448" spans="1:20" ht="15.75">
      <c r="A448" s="84"/>
      <c r="B448" s="190"/>
      <c r="C448" s="191"/>
      <c r="D448" s="248" t="s">
        <v>346</v>
      </c>
      <c r="E448" s="249" t="e">
        <f>+E43-E225</f>
        <v>#REF!</v>
      </c>
      <c r="F448" s="249" t="e">
        <f>F43-F225</f>
        <v>#REF!</v>
      </c>
      <c r="G448" s="257" t="s">
        <v>347</v>
      </c>
      <c r="H448" s="257" t="s">
        <v>347</v>
      </c>
      <c r="I448" s="249">
        <v>-11736537.049701095</v>
      </c>
      <c r="J448" s="249">
        <f>J43-J225</f>
        <v>-15795453.174508452</v>
      </c>
      <c r="K448" s="257"/>
      <c r="L448" s="257"/>
      <c r="M448" s="249">
        <f>M43-M225</f>
        <v>-14419843.581937492</v>
      </c>
      <c r="N448" s="257"/>
      <c r="O448" s="257"/>
      <c r="P448" s="130"/>
      <c r="Q448" s="130"/>
      <c r="R448" s="130"/>
      <c r="S448" s="130"/>
      <c r="T448" s="130"/>
    </row>
    <row r="449" spans="1:20" ht="16.5" thickBot="1">
      <c r="A449" s="88"/>
      <c r="B449" s="317"/>
      <c r="C449" s="318"/>
      <c r="D449" s="319" t="s">
        <v>48</v>
      </c>
      <c r="E449" s="320" t="e">
        <f aca="true" t="shared" si="78" ref="E449:J449">+E448/E$562*100</f>
        <v>#REF!</v>
      </c>
      <c r="F449" s="320" t="e">
        <f t="shared" si="78"/>
        <v>#REF!</v>
      </c>
      <c r="G449" s="320" t="e">
        <f t="shared" si="78"/>
        <v>#VALUE!</v>
      </c>
      <c r="H449" s="320" t="e">
        <f t="shared" si="78"/>
        <v>#VALUE!</v>
      </c>
      <c r="I449" s="320">
        <f t="shared" si="78"/>
        <v>-0.21280732987073842</v>
      </c>
      <c r="J449" s="320">
        <f t="shared" si="78"/>
        <v>-0.27724453994889603</v>
      </c>
      <c r="K449" s="321"/>
      <c r="L449" s="321"/>
      <c r="M449" s="320">
        <f>+M448/M$562*100</f>
        <v>-0.23307434508853514</v>
      </c>
      <c r="N449" s="321"/>
      <c r="O449" s="321"/>
      <c r="P449" s="130"/>
      <c r="Q449" s="130"/>
      <c r="R449" s="130"/>
      <c r="S449" s="130"/>
      <c r="T449" s="130"/>
    </row>
    <row r="450" spans="1:20" ht="17.25" customHeight="1" hidden="1" thickTop="1">
      <c r="A450" s="2"/>
      <c r="B450" s="192"/>
      <c r="C450" s="193"/>
      <c r="D450" s="194"/>
      <c r="E450" s="104"/>
      <c r="F450" s="104"/>
      <c r="G450" s="104"/>
      <c r="H450" s="104"/>
      <c r="I450" s="104"/>
      <c r="J450" s="104"/>
      <c r="K450" s="104" t="e">
        <f>+J450/E450*100</f>
        <v>#DIV/0!</v>
      </c>
      <c r="L450" s="104"/>
      <c r="M450" s="61"/>
      <c r="N450" s="61"/>
      <c r="O450" s="61"/>
      <c r="P450" s="130"/>
      <c r="Q450" s="130"/>
      <c r="R450" s="130"/>
      <c r="S450" s="130"/>
      <c r="T450" s="130"/>
    </row>
    <row r="451" spans="1:20" ht="0.75" customHeight="1" thickTop="1">
      <c r="A451" s="2"/>
      <c r="B451" s="12"/>
      <c r="C451" s="13"/>
      <c r="D451" s="14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130"/>
      <c r="Q451" s="130"/>
      <c r="R451" s="130"/>
      <c r="S451" s="130"/>
      <c r="T451" s="130"/>
    </row>
    <row r="452" spans="1:20" ht="0.75" customHeight="1" thickBot="1">
      <c r="A452" s="336"/>
      <c r="B452" s="196"/>
      <c r="C452" s="196"/>
      <c r="D452" s="196"/>
      <c r="E452" s="378"/>
      <c r="F452" s="378"/>
      <c r="G452" s="378"/>
      <c r="H452" s="378"/>
      <c r="I452" s="378"/>
      <c r="J452" s="378"/>
      <c r="K452" s="378"/>
      <c r="L452" s="378"/>
      <c r="M452" s="378"/>
      <c r="N452" s="378"/>
      <c r="O452" s="378"/>
      <c r="P452" s="130"/>
      <c r="Q452" s="130"/>
      <c r="R452" s="130"/>
      <c r="S452" s="130"/>
      <c r="T452" s="130"/>
    </row>
    <row r="453" spans="2:20" ht="15.75" thickTop="1">
      <c r="B453" s="195"/>
      <c r="C453" s="195"/>
      <c r="D453" s="195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130"/>
      <c r="Q453" s="130"/>
      <c r="R453" s="130"/>
      <c r="S453" s="130"/>
      <c r="T453" s="130"/>
    </row>
    <row r="454" spans="2:20" ht="21" customHeight="1">
      <c r="B454" s="119" t="s">
        <v>348</v>
      </c>
      <c r="C454" s="197"/>
      <c r="D454" s="197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130"/>
      <c r="Q454" s="130"/>
      <c r="R454" s="130"/>
      <c r="S454" s="130"/>
      <c r="T454" s="130"/>
    </row>
    <row r="455" spans="2:20" ht="20.25" customHeight="1" thickBot="1">
      <c r="B455" s="198" t="s">
        <v>5</v>
      </c>
      <c r="C455" s="198"/>
      <c r="D455" s="198"/>
      <c r="E455" s="120"/>
      <c r="F455" s="120"/>
      <c r="G455" s="120"/>
      <c r="H455" s="120"/>
      <c r="I455" s="120"/>
      <c r="J455" s="120"/>
      <c r="K455" s="120"/>
      <c r="L455" s="120"/>
      <c r="M455" s="458"/>
      <c r="N455" s="34"/>
      <c r="O455" s="34"/>
      <c r="P455" s="130"/>
      <c r="Q455" s="130"/>
      <c r="R455" s="130"/>
      <c r="S455" s="130"/>
      <c r="T455" s="130"/>
    </row>
    <row r="456" spans="1:20" ht="54.75" customHeight="1" thickTop="1">
      <c r="A456" s="2"/>
      <c r="B456" s="199"/>
      <c r="C456" s="200"/>
      <c r="D456" s="262"/>
      <c r="E456" s="362" t="s">
        <v>17</v>
      </c>
      <c r="F456" s="316"/>
      <c r="G456" s="315"/>
      <c r="H456" s="315"/>
      <c r="I456" s="362" t="s">
        <v>18</v>
      </c>
      <c r="J456" s="370" t="s">
        <v>19</v>
      </c>
      <c r="K456" s="365" t="s">
        <v>20</v>
      </c>
      <c r="L456" s="365" t="s">
        <v>21</v>
      </c>
      <c r="M456" s="362" t="s">
        <v>22</v>
      </c>
      <c r="N456" s="315" t="s">
        <v>24</v>
      </c>
      <c r="O456" s="315" t="s">
        <v>23</v>
      </c>
      <c r="P456" s="130"/>
      <c r="Q456" s="130"/>
      <c r="R456" s="130"/>
      <c r="S456" s="130"/>
      <c r="T456" s="130"/>
    </row>
    <row r="457" spans="1:20" ht="18" customHeight="1">
      <c r="A457" s="2"/>
      <c r="B457" s="202"/>
      <c r="C457" s="203"/>
      <c r="D457" s="263"/>
      <c r="E457" s="363"/>
      <c r="F457" s="259"/>
      <c r="G457" s="258"/>
      <c r="H457" s="258"/>
      <c r="I457" s="363"/>
      <c r="J457" s="371">
        <v>2003</v>
      </c>
      <c r="K457" s="366"/>
      <c r="L457" s="366"/>
      <c r="M457" s="405">
        <v>2004</v>
      </c>
      <c r="N457" s="258" t="s">
        <v>27</v>
      </c>
      <c r="O457" s="258" t="s">
        <v>26</v>
      </c>
      <c r="P457" s="130"/>
      <c r="Q457" s="130"/>
      <c r="R457" s="130"/>
      <c r="S457" s="130"/>
      <c r="T457" s="130"/>
    </row>
    <row r="458" spans="1:20" ht="18">
      <c r="A458" s="2"/>
      <c r="B458" s="121" t="s">
        <v>10</v>
      </c>
      <c r="C458" s="203"/>
      <c r="D458" s="263"/>
      <c r="E458" s="363"/>
      <c r="F458" s="259"/>
      <c r="G458" s="258"/>
      <c r="H458" s="258"/>
      <c r="I458" s="363"/>
      <c r="J458" s="363"/>
      <c r="K458" s="366"/>
      <c r="L458" s="366"/>
      <c r="M458" s="363"/>
      <c r="N458" s="258" t="s">
        <v>16</v>
      </c>
      <c r="O458" s="258" t="s">
        <v>16</v>
      </c>
      <c r="P458" s="130"/>
      <c r="Q458" s="130"/>
      <c r="R458" s="130"/>
      <c r="S458" s="130"/>
      <c r="T458" s="130"/>
    </row>
    <row r="459" spans="1:20" ht="18.75" thickBot="1">
      <c r="A459" s="2"/>
      <c r="B459" s="204"/>
      <c r="C459" s="205"/>
      <c r="D459" s="264"/>
      <c r="E459" s="364"/>
      <c r="F459" s="260"/>
      <c r="G459" s="261"/>
      <c r="H459" s="261"/>
      <c r="I459" s="364"/>
      <c r="J459" s="364"/>
      <c r="K459" s="367"/>
      <c r="L459" s="367"/>
      <c r="M459" s="260"/>
      <c r="N459" s="261">
        <v>2003</v>
      </c>
      <c r="O459" s="261">
        <v>2003</v>
      </c>
      <c r="P459" s="130"/>
      <c r="Q459" s="130"/>
      <c r="R459" s="130"/>
      <c r="S459" s="130"/>
      <c r="T459" s="130"/>
    </row>
    <row r="460" spans="1:20" ht="19.5" customHeight="1" thickTop="1">
      <c r="A460" s="2"/>
      <c r="B460" s="208" t="s">
        <v>5</v>
      </c>
      <c r="C460" s="209"/>
      <c r="D460" s="201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30"/>
      <c r="Q460" s="130"/>
      <c r="R460" s="130"/>
      <c r="S460" s="130"/>
      <c r="T460" s="130"/>
    </row>
    <row r="461" spans="1:20" ht="15.75">
      <c r="A461" s="2"/>
      <c r="B461" s="210"/>
      <c r="C461" s="211" t="s">
        <v>5</v>
      </c>
      <c r="D461" s="116" t="s">
        <v>349</v>
      </c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130"/>
      <c r="Q461" s="130"/>
      <c r="R461" s="130"/>
      <c r="S461" s="130"/>
      <c r="T461" s="130"/>
    </row>
    <row r="462" spans="1:20" ht="15.75">
      <c r="A462" s="2"/>
      <c r="B462" s="212"/>
      <c r="C462" s="211" t="s">
        <v>350</v>
      </c>
      <c r="D462" s="116" t="s">
        <v>351</v>
      </c>
      <c r="E462" s="96">
        <f>E464+E473</f>
        <v>366346.25133</v>
      </c>
      <c r="F462" s="96">
        <f>F464+F473</f>
        <v>359232</v>
      </c>
      <c r="G462" s="97">
        <f>+F462/E462*100</f>
        <v>98.05805264714131</v>
      </c>
      <c r="H462" s="97">
        <f>+G462/H26*100-100</f>
        <v>-7.840176083513811</v>
      </c>
      <c r="I462" s="96">
        <v>0</v>
      </c>
      <c r="J462" s="96">
        <f>J464+J473</f>
        <v>7007</v>
      </c>
      <c r="K462" s="97">
        <f>+J462/E462*100</f>
        <v>1.9126714070531552</v>
      </c>
      <c r="L462" s="97"/>
      <c r="M462" s="96">
        <f>M464+M473</f>
        <v>7007</v>
      </c>
      <c r="N462" s="97">
        <f>+M462/J462*100</f>
        <v>100</v>
      </c>
      <c r="O462" s="97">
        <f>+N462/O$26*100-100</f>
        <v>-4.671115347950433</v>
      </c>
      <c r="P462" s="130"/>
      <c r="Q462" s="130"/>
      <c r="R462" s="130"/>
      <c r="S462" s="130"/>
      <c r="T462" s="130"/>
    </row>
    <row r="463" spans="1:20" ht="15.75">
      <c r="A463" s="2"/>
      <c r="B463" s="12"/>
      <c r="C463" s="13"/>
      <c r="D463" s="124" t="s">
        <v>352</v>
      </c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130"/>
      <c r="Q463" s="130"/>
      <c r="R463" s="130"/>
      <c r="S463" s="130"/>
      <c r="T463" s="130"/>
    </row>
    <row r="464" spans="1:20" ht="15.75">
      <c r="A464" s="2"/>
      <c r="B464" s="7">
        <v>750</v>
      </c>
      <c r="C464" s="8"/>
      <c r="D464" s="9" t="s">
        <v>353</v>
      </c>
      <c r="E464" s="103">
        <f>SUM(E465:E471)</f>
        <v>366010.41583</v>
      </c>
      <c r="F464" s="66">
        <f>SUM(F465:F471)</f>
        <v>359232</v>
      </c>
      <c r="G464" s="90">
        <f>+F464/E464*100</f>
        <v>98.14802652142328</v>
      </c>
      <c r="H464" s="90">
        <f>+G464/H$26*100-100</f>
        <v>-7.755614171594672</v>
      </c>
      <c r="I464" s="103">
        <v>0</v>
      </c>
      <c r="J464" s="66">
        <f>+'[2]REALJAN-JUN,PROJ  (2)'!$AR$491</f>
        <v>7007</v>
      </c>
      <c r="K464" s="90">
        <f>+J464/E464*100</f>
        <v>1.9144263925140657</v>
      </c>
      <c r="L464" s="90"/>
      <c r="M464" s="66">
        <f>+J464</f>
        <v>7007</v>
      </c>
      <c r="N464" s="90">
        <f>+M464/J464*100</f>
        <v>100</v>
      </c>
      <c r="O464" s="90">
        <f>+N464/O$26*100-100</f>
        <v>-4.671115347950433</v>
      </c>
      <c r="P464" s="130"/>
      <c r="Q464" s="130"/>
      <c r="R464" s="130"/>
      <c r="S464" s="130"/>
      <c r="T464" s="130"/>
    </row>
    <row r="465" spans="1:20" ht="15" customHeight="1" hidden="1">
      <c r="A465" s="2"/>
      <c r="B465" s="12">
        <v>7500</v>
      </c>
      <c r="C465" s="13"/>
      <c r="D465" s="14" t="s">
        <v>354</v>
      </c>
      <c r="E465" s="103">
        <v>6778.01694</v>
      </c>
      <c r="F465" s="66" t="s">
        <v>5</v>
      </c>
      <c r="G465" s="90"/>
      <c r="H465" s="66"/>
      <c r="I465" s="66" t="s">
        <v>5</v>
      </c>
      <c r="J465" s="66" t="s">
        <v>5</v>
      </c>
      <c r="K465" s="66"/>
      <c r="L465" s="66"/>
      <c r="M465" s="66" t="s">
        <v>5</v>
      </c>
      <c r="N465" s="66"/>
      <c r="O465" s="66"/>
      <c r="P465" s="130"/>
      <c r="Q465" s="130"/>
      <c r="R465" s="130"/>
      <c r="S465" s="130"/>
      <c r="T465" s="130"/>
    </row>
    <row r="466" spans="1:20" ht="15" customHeight="1" hidden="1">
      <c r="A466" s="2"/>
      <c r="B466" s="12">
        <v>7501</v>
      </c>
      <c r="C466" s="13"/>
      <c r="D466" s="14" t="s">
        <v>355</v>
      </c>
      <c r="E466" s="103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130"/>
      <c r="Q466" s="130"/>
      <c r="R466" s="130"/>
      <c r="S466" s="130"/>
      <c r="T466" s="130"/>
    </row>
    <row r="467" spans="1:20" ht="15" customHeight="1" hidden="1">
      <c r="A467" s="2"/>
      <c r="B467" s="12">
        <v>7502</v>
      </c>
      <c r="C467" s="13"/>
      <c r="D467" s="14" t="s">
        <v>356</v>
      </c>
      <c r="E467" s="103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130"/>
      <c r="Q467" s="130"/>
      <c r="R467" s="130"/>
      <c r="S467" s="130"/>
      <c r="T467" s="130"/>
    </row>
    <row r="468" spans="1:20" ht="15" customHeight="1" hidden="1">
      <c r="A468" s="2"/>
      <c r="B468" s="12">
        <v>7503</v>
      </c>
      <c r="C468" s="13"/>
      <c r="D468" s="14" t="s">
        <v>357</v>
      </c>
      <c r="E468" s="103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130"/>
      <c r="Q468" s="130"/>
      <c r="R468" s="130"/>
      <c r="S468" s="130"/>
      <c r="T468" s="130"/>
    </row>
    <row r="469" spans="1:20" ht="15" hidden="1">
      <c r="A469" s="2"/>
      <c r="B469" s="12">
        <v>7505</v>
      </c>
      <c r="C469" s="13"/>
      <c r="D469" s="14" t="s">
        <v>358</v>
      </c>
      <c r="E469" s="103"/>
      <c r="F469" s="66"/>
      <c r="G469" s="90" t="s">
        <v>5</v>
      </c>
      <c r="H469" s="90" t="s">
        <v>5</v>
      </c>
      <c r="I469" s="90"/>
      <c r="J469" s="66"/>
      <c r="K469" s="90"/>
      <c r="L469" s="90" t="s">
        <v>5</v>
      </c>
      <c r="M469" s="66"/>
      <c r="N469" s="90" t="s">
        <v>5</v>
      </c>
      <c r="O469" s="90" t="s">
        <v>5</v>
      </c>
      <c r="P469" s="130"/>
      <c r="Q469" s="130"/>
      <c r="R469" s="130"/>
      <c r="S469" s="130"/>
      <c r="T469" s="130"/>
    </row>
    <row r="470" spans="1:20" ht="15" customHeight="1" hidden="1">
      <c r="A470" s="2"/>
      <c r="B470" s="12">
        <v>7505</v>
      </c>
      <c r="C470" s="13"/>
      <c r="D470" s="14" t="s">
        <v>359</v>
      </c>
      <c r="E470" s="103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130"/>
      <c r="Q470" s="130"/>
      <c r="R470" s="130"/>
      <c r="S470" s="130"/>
      <c r="T470" s="130"/>
    </row>
    <row r="471" spans="1:20" ht="15" hidden="1">
      <c r="A471" s="2"/>
      <c r="B471" s="12">
        <v>7507</v>
      </c>
      <c r="C471" s="13"/>
      <c r="D471" s="14" t="s">
        <v>360</v>
      </c>
      <c r="E471" s="103">
        <v>359232.39889</v>
      </c>
      <c r="F471" s="66">
        <v>359232</v>
      </c>
      <c r="G471" s="90">
        <f>+F471/E471*100</f>
        <v>99.99988896046091</v>
      </c>
      <c r="H471" s="90">
        <f>+G471/H$26*100-100</f>
        <v>-6.015141954454037</v>
      </c>
      <c r="I471" s="91">
        <v>0</v>
      </c>
      <c r="J471" s="66">
        <v>0</v>
      </c>
      <c r="K471" s="90"/>
      <c r="L471" s="90"/>
      <c r="M471" s="66"/>
      <c r="N471" s="90" t="e">
        <f>+M471/J471*100</f>
        <v>#DIV/0!</v>
      </c>
      <c r="O471" s="90" t="e">
        <f>+N471/O$26*100-100</f>
        <v>#DIV/0!</v>
      </c>
      <c r="P471" s="130"/>
      <c r="Q471" s="130"/>
      <c r="R471" s="130"/>
      <c r="S471" s="130"/>
      <c r="T471" s="130"/>
    </row>
    <row r="472" spans="1:20" ht="15">
      <c r="A472" s="2"/>
      <c r="B472" s="12"/>
      <c r="C472" s="13"/>
      <c r="D472" s="14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130"/>
      <c r="Q472" s="130"/>
      <c r="R472" s="130"/>
      <c r="S472" s="130"/>
      <c r="T472" s="130"/>
    </row>
    <row r="473" spans="1:20" ht="15.75">
      <c r="A473" s="2"/>
      <c r="B473" s="7">
        <v>751</v>
      </c>
      <c r="C473" s="8"/>
      <c r="D473" s="9" t="s">
        <v>361</v>
      </c>
      <c r="E473" s="66">
        <f>+E474</f>
        <v>335.8355</v>
      </c>
      <c r="F473" s="66">
        <f>SUM(F474:F476)</f>
        <v>0</v>
      </c>
      <c r="G473" s="66"/>
      <c r="H473" s="66"/>
      <c r="I473" s="66">
        <v>0</v>
      </c>
      <c r="J473" s="66">
        <f>+'[2]REALJAN-JUN,PROJ  (2)'!$AR$500</f>
        <v>0</v>
      </c>
      <c r="K473" s="66"/>
      <c r="L473" s="66"/>
      <c r="M473" s="66">
        <f>SUM(M474:M476)</f>
        <v>0</v>
      </c>
      <c r="N473" s="66"/>
      <c r="O473" s="66"/>
      <c r="P473" s="130"/>
      <c r="Q473" s="130"/>
      <c r="R473" s="130"/>
      <c r="S473" s="130"/>
      <c r="T473" s="130"/>
    </row>
    <row r="474" spans="1:20" ht="15" customHeight="1" hidden="1">
      <c r="A474" s="2"/>
      <c r="B474" s="12">
        <v>7512</v>
      </c>
      <c r="C474" s="13"/>
      <c r="D474" s="14" t="s">
        <v>362</v>
      </c>
      <c r="E474" s="66">
        <v>335.8355</v>
      </c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130"/>
      <c r="Q474" s="130"/>
      <c r="R474" s="130"/>
      <c r="S474" s="130"/>
      <c r="T474" s="130"/>
    </row>
    <row r="475" spans="1:20" ht="15" customHeight="1" hidden="1">
      <c r="A475" s="2"/>
      <c r="B475" s="12">
        <v>7511</v>
      </c>
      <c r="C475" s="13"/>
      <c r="D475" s="14" t="s">
        <v>363</v>
      </c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130"/>
      <c r="Q475" s="130"/>
      <c r="R475" s="130"/>
      <c r="S475" s="130"/>
      <c r="T475" s="130"/>
    </row>
    <row r="476" spans="1:20" ht="15" customHeight="1" hidden="1">
      <c r="A476" s="2"/>
      <c r="B476" s="12">
        <v>7512</v>
      </c>
      <c r="C476" s="13"/>
      <c r="D476" s="14" t="s">
        <v>364</v>
      </c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130"/>
      <c r="Q476" s="130"/>
      <c r="R476" s="130"/>
      <c r="S476" s="130"/>
      <c r="T476" s="130"/>
    </row>
    <row r="477" spans="1:20" ht="15.75" thickBot="1">
      <c r="A477" s="2"/>
      <c r="B477" s="12"/>
      <c r="C477" s="13"/>
      <c r="D477" s="14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130"/>
      <c r="Q477" s="130"/>
      <c r="R477" s="130"/>
      <c r="S477" s="130"/>
      <c r="T477" s="130"/>
    </row>
    <row r="478" spans="1:20" ht="15.75" thickTop="1">
      <c r="A478" s="2"/>
      <c r="B478" s="213" t="s">
        <v>5</v>
      </c>
      <c r="C478" s="187"/>
      <c r="D478" s="188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30"/>
      <c r="Q478" s="130"/>
      <c r="R478" s="130"/>
      <c r="S478" s="130"/>
      <c r="T478" s="130"/>
    </row>
    <row r="479" spans="1:20" ht="15.75">
      <c r="A479" s="4"/>
      <c r="B479" s="210"/>
      <c r="C479" s="166"/>
      <c r="D479" s="214" t="s">
        <v>365</v>
      </c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30"/>
      <c r="Q479" s="130"/>
      <c r="R479" s="130"/>
      <c r="S479" s="130"/>
      <c r="T479" s="130"/>
    </row>
    <row r="480" spans="1:20" ht="15.75">
      <c r="A480" s="2"/>
      <c r="B480" s="212"/>
      <c r="C480" s="166" t="s">
        <v>344</v>
      </c>
      <c r="D480" s="214" t="s">
        <v>366</v>
      </c>
      <c r="E480" s="96">
        <f>E482+E492</f>
        <v>0</v>
      </c>
      <c r="F480" s="96">
        <f>F482+F492</f>
        <v>0</v>
      </c>
      <c r="G480" s="117" t="s">
        <v>347</v>
      </c>
      <c r="H480" s="117" t="s">
        <v>347</v>
      </c>
      <c r="I480" s="96">
        <v>0</v>
      </c>
      <c r="J480" s="96">
        <f>J482+J492</f>
        <v>0</v>
      </c>
      <c r="K480" s="117"/>
      <c r="L480" s="117" t="s">
        <v>347</v>
      </c>
      <c r="M480" s="96">
        <f>M482+M492</f>
        <v>0</v>
      </c>
      <c r="N480" s="117" t="s">
        <v>347</v>
      </c>
      <c r="O480" s="117" t="s">
        <v>347</v>
      </c>
      <c r="P480" s="130"/>
      <c r="Q480" s="130"/>
      <c r="R480" s="130"/>
      <c r="S480" s="130"/>
      <c r="T480" s="130"/>
    </row>
    <row r="481" spans="1:20" ht="15">
      <c r="A481" s="2"/>
      <c r="B481" s="12"/>
      <c r="C481" s="13"/>
      <c r="D481" s="14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130"/>
      <c r="Q481" s="130"/>
      <c r="R481" s="130"/>
      <c r="S481" s="130"/>
      <c r="T481" s="130"/>
    </row>
    <row r="482" spans="1:20" ht="15.75">
      <c r="A482" s="2"/>
      <c r="B482" s="7">
        <v>440</v>
      </c>
      <c r="C482" s="8"/>
      <c r="D482" s="9" t="s">
        <v>367</v>
      </c>
      <c r="E482" s="66">
        <f>SUM(E483:E490)</f>
        <v>0</v>
      </c>
      <c r="F482" s="66">
        <f>SUM(F483:F490)</f>
        <v>0</v>
      </c>
      <c r="G482" s="66"/>
      <c r="H482" s="66"/>
      <c r="I482" s="66">
        <v>0</v>
      </c>
      <c r="J482" s="66">
        <f>+'[2]REALJAN-JUN,PROJ  (2)'!$AR$509</f>
        <v>0</v>
      </c>
      <c r="K482" s="66"/>
      <c r="L482" s="66"/>
      <c r="M482" s="66">
        <f>SUM(M483:M490)</f>
        <v>0</v>
      </c>
      <c r="N482" s="66"/>
      <c r="O482" s="66"/>
      <c r="P482" s="130"/>
      <c r="Q482" s="130"/>
      <c r="R482" s="130"/>
      <c r="S482" s="130"/>
      <c r="T482" s="130"/>
    </row>
    <row r="483" spans="1:20" ht="15" customHeight="1" hidden="1">
      <c r="A483" s="2"/>
      <c r="B483" s="12">
        <v>4400</v>
      </c>
      <c r="C483" s="13"/>
      <c r="D483" s="14" t="s">
        <v>368</v>
      </c>
      <c r="E483" s="66"/>
      <c r="F483" s="66" t="s">
        <v>5</v>
      </c>
      <c r="G483" s="66"/>
      <c r="H483" s="66"/>
      <c r="I483" s="66" t="s">
        <v>5</v>
      </c>
      <c r="J483" s="66" t="s">
        <v>5</v>
      </c>
      <c r="K483" s="66"/>
      <c r="L483" s="66"/>
      <c r="M483" s="66" t="s">
        <v>5</v>
      </c>
      <c r="N483" s="66"/>
      <c r="O483" s="66"/>
      <c r="P483" s="130"/>
      <c r="Q483" s="130"/>
      <c r="R483" s="130"/>
      <c r="S483" s="130"/>
      <c r="T483" s="130"/>
    </row>
    <row r="484" spans="1:20" ht="15" customHeight="1" hidden="1">
      <c r="A484" s="2"/>
      <c r="B484" s="12">
        <v>4401</v>
      </c>
      <c r="C484" s="13"/>
      <c r="D484" s="14" t="s">
        <v>369</v>
      </c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130"/>
      <c r="Q484" s="130"/>
      <c r="R484" s="130"/>
      <c r="S484" s="130"/>
      <c r="T484" s="130"/>
    </row>
    <row r="485" spans="1:20" ht="15" customHeight="1" hidden="1">
      <c r="A485" s="2"/>
      <c r="B485" s="12">
        <v>4402</v>
      </c>
      <c r="C485" s="13"/>
      <c r="D485" s="14" t="s">
        <v>370</v>
      </c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130"/>
      <c r="Q485" s="130"/>
      <c r="R485" s="130"/>
      <c r="S485" s="130"/>
      <c r="T485" s="130"/>
    </row>
    <row r="486" spans="1:20" ht="15" customHeight="1" hidden="1">
      <c r="A486" s="2"/>
      <c r="B486" s="12">
        <v>4403</v>
      </c>
      <c r="C486" s="13"/>
      <c r="D486" s="14" t="s">
        <v>371</v>
      </c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130"/>
      <c r="Q486" s="130"/>
      <c r="R486" s="130"/>
      <c r="S486" s="130"/>
      <c r="T486" s="130"/>
    </row>
    <row r="487" spans="1:20" ht="15" customHeight="1" hidden="1">
      <c r="A487" s="2"/>
      <c r="B487" s="12">
        <v>4404</v>
      </c>
      <c r="C487" s="13"/>
      <c r="D487" s="14" t="s">
        <v>372</v>
      </c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130"/>
      <c r="Q487" s="130"/>
      <c r="R487" s="130"/>
      <c r="S487" s="130"/>
      <c r="T487" s="130"/>
    </row>
    <row r="488" spans="1:20" ht="15" hidden="1">
      <c r="A488" s="2"/>
      <c r="B488" s="12">
        <v>4405</v>
      </c>
      <c r="C488" s="13"/>
      <c r="D488" s="14" t="s">
        <v>373</v>
      </c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130"/>
      <c r="Q488" s="130"/>
      <c r="R488" s="130"/>
      <c r="S488" s="130"/>
      <c r="T488" s="130"/>
    </row>
    <row r="489" spans="1:20" ht="15" customHeight="1" hidden="1">
      <c r="A489" s="2"/>
      <c r="B489" s="12">
        <v>4406</v>
      </c>
      <c r="C489" s="13"/>
      <c r="D489" s="14" t="s">
        <v>374</v>
      </c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130"/>
      <c r="Q489" s="130"/>
      <c r="R489" s="130"/>
      <c r="S489" s="130"/>
      <c r="T489" s="130"/>
    </row>
    <row r="490" spans="1:20" ht="15" hidden="1">
      <c r="A490" s="2"/>
      <c r="B490" s="12">
        <v>4407</v>
      </c>
      <c r="C490" s="13"/>
      <c r="D490" s="14" t="s">
        <v>375</v>
      </c>
      <c r="E490" s="66">
        <v>0</v>
      </c>
      <c r="F490" s="66">
        <v>0</v>
      </c>
      <c r="G490" s="66"/>
      <c r="H490" s="66"/>
      <c r="I490" s="66">
        <v>0</v>
      </c>
      <c r="J490" s="66">
        <v>0</v>
      </c>
      <c r="K490" s="66"/>
      <c r="L490" s="66"/>
      <c r="M490" s="66">
        <v>0</v>
      </c>
      <c r="N490" s="66"/>
      <c r="O490" s="66"/>
      <c r="P490" s="130"/>
      <c r="Q490" s="130"/>
      <c r="R490" s="130"/>
      <c r="S490" s="130"/>
      <c r="T490" s="130"/>
    </row>
    <row r="491" spans="1:20" ht="16.5" customHeight="1">
      <c r="A491" s="2"/>
      <c r="B491" s="12"/>
      <c r="C491" s="13"/>
      <c r="D491" s="14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130"/>
      <c r="Q491" s="130"/>
      <c r="R491" s="130"/>
      <c r="S491" s="130"/>
      <c r="T491" s="130"/>
    </row>
    <row r="492" spans="1:20" ht="16.5" customHeight="1">
      <c r="A492" s="2"/>
      <c r="B492" s="7">
        <v>441</v>
      </c>
      <c r="C492" s="8"/>
      <c r="D492" s="9" t="s">
        <v>376</v>
      </c>
      <c r="E492" s="66">
        <v>0</v>
      </c>
      <c r="F492" s="66">
        <f>SUM(F493:F497)</f>
        <v>0</v>
      </c>
      <c r="G492" s="66"/>
      <c r="H492" s="66"/>
      <c r="I492" s="66">
        <v>0</v>
      </c>
      <c r="J492" s="66">
        <f>+'[2]REALJAN-JUN,PROJ  (2)'!$AR$519</f>
        <v>0</v>
      </c>
      <c r="K492" s="66"/>
      <c r="L492" s="66"/>
      <c r="M492" s="66">
        <f>SUM(M493:M497)</f>
        <v>0</v>
      </c>
      <c r="N492" s="66"/>
      <c r="O492" s="66"/>
      <c r="P492" s="130"/>
      <c r="Q492" s="130"/>
      <c r="R492" s="130"/>
      <c r="S492" s="130"/>
      <c r="T492" s="130"/>
    </row>
    <row r="493" spans="1:20" ht="15" customHeight="1" hidden="1">
      <c r="A493" s="2"/>
      <c r="B493" s="12">
        <v>4410</v>
      </c>
      <c r="C493" s="13"/>
      <c r="D493" s="14" t="s">
        <v>377</v>
      </c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130"/>
      <c r="Q493" s="130"/>
      <c r="R493" s="130"/>
      <c r="S493" s="130"/>
      <c r="T493" s="130"/>
    </row>
    <row r="494" spans="1:20" ht="15" customHeight="1" hidden="1">
      <c r="A494" s="2"/>
      <c r="B494" s="12">
        <v>4411</v>
      </c>
      <c r="C494" s="13"/>
      <c r="D494" s="14" t="s">
        <v>378</v>
      </c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130"/>
      <c r="Q494" s="130"/>
      <c r="R494" s="130"/>
      <c r="S494" s="130"/>
      <c r="T494" s="130"/>
    </row>
    <row r="495" spans="1:20" ht="15" customHeight="1" hidden="1">
      <c r="A495" s="2"/>
      <c r="B495" s="12">
        <v>4412</v>
      </c>
      <c r="C495" s="13"/>
      <c r="D495" s="14" t="s">
        <v>379</v>
      </c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130"/>
      <c r="Q495" s="130"/>
      <c r="R495" s="130"/>
      <c r="S495" s="130"/>
      <c r="T495" s="130"/>
    </row>
    <row r="496" spans="1:20" ht="15" customHeight="1" hidden="1">
      <c r="A496" s="2"/>
      <c r="B496" s="12">
        <v>4413</v>
      </c>
      <c r="C496" s="13"/>
      <c r="D496" s="14" t="s">
        <v>380</v>
      </c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130"/>
      <c r="Q496" s="130"/>
      <c r="R496" s="130"/>
      <c r="S496" s="130"/>
      <c r="T496" s="130"/>
    </row>
    <row r="497" spans="1:20" ht="15" customHeight="1" hidden="1">
      <c r="A497" s="2"/>
      <c r="B497" s="12">
        <v>4414</v>
      </c>
      <c r="C497" s="13"/>
      <c r="D497" s="14" t="s">
        <v>381</v>
      </c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130"/>
      <c r="Q497" s="130"/>
      <c r="R497" s="130"/>
      <c r="S497" s="130"/>
      <c r="T497" s="130"/>
    </row>
    <row r="498" spans="1:20" ht="15.75" thickBot="1">
      <c r="A498" s="2"/>
      <c r="B498" s="17"/>
      <c r="C498" s="18"/>
      <c r="D498" s="19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130"/>
      <c r="Q498" s="130"/>
      <c r="R498" s="130"/>
      <c r="S498" s="130"/>
      <c r="T498" s="130"/>
    </row>
    <row r="499" spans="1:20" ht="10.5" customHeight="1" thickTop="1">
      <c r="A499" s="2"/>
      <c r="B499" s="215"/>
      <c r="C499" s="15"/>
      <c r="D499" s="16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130"/>
      <c r="Q499" s="130"/>
      <c r="R499" s="130"/>
      <c r="S499" s="130"/>
      <c r="T499" s="130"/>
    </row>
    <row r="500" spans="1:20" ht="15.75">
      <c r="A500" s="2"/>
      <c r="B500" s="216" t="s">
        <v>5</v>
      </c>
      <c r="C500" s="166" t="s">
        <v>382</v>
      </c>
      <c r="D500" s="116" t="s">
        <v>383</v>
      </c>
      <c r="E500" s="70"/>
      <c r="F500" s="70" t="s">
        <v>5</v>
      </c>
      <c r="G500" s="70"/>
      <c r="H500" s="70"/>
      <c r="I500" s="70" t="s">
        <v>5</v>
      </c>
      <c r="J500" s="70" t="s">
        <v>5</v>
      </c>
      <c r="K500" s="70"/>
      <c r="L500" s="70"/>
      <c r="M500" s="70" t="s">
        <v>5</v>
      </c>
      <c r="N500" s="70"/>
      <c r="O500" s="70"/>
      <c r="P500" s="130"/>
      <c r="Q500" s="130"/>
      <c r="R500" s="130"/>
      <c r="S500" s="130"/>
      <c r="T500" s="130"/>
    </row>
    <row r="501" spans="1:20" ht="15.75">
      <c r="A501" s="2"/>
      <c r="B501" s="212"/>
      <c r="C501" s="191"/>
      <c r="D501" s="116" t="s">
        <v>384</v>
      </c>
      <c r="E501" s="112">
        <f>+E462-E480</f>
        <v>366346.25133</v>
      </c>
      <c r="F501" s="112">
        <f>+F462-F480</f>
        <v>359232</v>
      </c>
      <c r="G501" s="117" t="s">
        <v>347</v>
      </c>
      <c r="H501" s="117" t="s">
        <v>347</v>
      </c>
      <c r="I501" s="112">
        <v>0</v>
      </c>
      <c r="J501" s="112">
        <f>+J462-J480</f>
        <v>7007</v>
      </c>
      <c r="K501" s="117">
        <f>+J501/E501*100</f>
        <v>1.9126714070531552</v>
      </c>
      <c r="L501" s="117" t="s">
        <v>347</v>
      </c>
      <c r="M501" s="112">
        <f>+M462-M480</f>
        <v>7007</v>
      </c>
      <c r="N501" s="117" t="s">
        <v>347</v>
      </c>
      <c r="O501" s="117" t="s">
        <v>347</v>
      </c>
      <c r="P501" s="130"/>
      <c r="Q501" s="130"/>
      <c r="R501" s="130"/>
      <c r="S501" s="130"/>
      <c r="T501" s="130"/>
    </row>
    <row r="502" spans="1:20" ht="16.5" customHeight="1">
      <c r="A502" s="2"/>
      <c r="B502" s="12"/>
      <c r="C502" s="8"/>
      <c r="D502" s="9" t="s">
        <v>385</v>
      </c>
      <c r="E502" s="101"/>
      <c r="F502" s="101"/>
      <c r="G502" s="101"/>
      <c r="H502" s="101"/>
      <c r="I502" s="101"/>
      <c r="J502" s="101"/>
      <c r="K502" s="101"/>
      <c r="L502" s="101"/>
      <c r="M502" s="29"/>
      <c r="N502" s="29"/>
      <c r="O502" s="29"/>
      <c r="P502" s="130"/>
      <c r="Q502" s="130"/>
      <c r="R502" s="130"/>
      <c r="S502" s="130"/>
      <c r="T502" s="130"/>
    </row>
    <row r="503" spans="1:20" ht="9.75" customHeight="1" thickBot="1">
      <c r="A503" s="2"/>
      <c r="B503" s="17"/>
      <c r="C503" s="18"/>
      <c r="D503" s="19"/>
      <c r="E503" s="125"/>
      <c r="F503" s="125"/>
      <c r="G503" s="125"/>
      <c r="H503" s="125"/>
      <c r="I503" s="125"/>
      <c r="J503" s="125"/>
      <c r="K503" s="125"/>
      <c r="L503" s="125"/>
      <c r="M503" s="32"/>
      <c r="N503" s="32"/>
      <c r="O503" s="32"/>
      <c r="P503" s="130"/>
      <c r="Q503" s="130"/>
      <c r="R503" s="130"/>
      <c r="S503" s="130"/>
      <c r="T503" s="130"/>
    </row>
    <row r="504" spans="1:20" ht="0.75" customHeight="1" thickBot="1" thickTop="1">
      <c r="A504" s="2"/>
      <c r="B504" s="12"/>
      <c r="C504" s="13"/>
      <c r="D504" s="14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130"/>
      <c r="Q504" s="130"/>
      <c r="R504" s="130"/>
      <c r="S504" s="130"/>
      <c r="T504" s="130"/>
    </row>
    <row r="505" spans="2:20" ht="15.75" thickTop="1">
      <c r="B505" s="195"/>
      <c r="C505" s="195"/>
      <c r="D505" s="195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130"/>
      <c r="Q505" s="130"/>
      <c r="R505" s="130"/>
      <c r="S505" s="130"/>
      <c r="T505" s="130"/>
    </row>
    <row r="506" spans="2:20" ht="27" customHeight="1">
      <c r="B506" s="196"/>
      <c r="C506" s="196"/>
      <c r="D506" s="196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130"/>
      <c r="Q506" s="130"/>
      <c r="R506" s="130"/>
      <c r="S506" s="130"/>
      <c r="T506" s="130"/>
    </row>
    <row r="507" spans="2:20" ht="27" customHeight="1">
      <c r="B507" s="196"/>
      <c r="C507" s="196"/>
      <c r="D507" s="196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130"/>
      <c r="Q507" s="130"/>
      <c r="R507" s="130"/>
      <c r="S507" s="130"/>
      <c r="T507" s="130"/>
    </row>
    <row r="508" spans="2:20" ht="15.75">
      <c r="B508" s="126" t="s">
        <v>386</v>
      </c>
      <c r="C508" s="126"/>
      <c r="D508" s="126"/>
      <c r="E508" s="217"/>
      <c r="F508" s="217"/>
      <c r="G508" s="217"/>
      <c r="H508" s="217"/>
      <c r="I508" s="217"/>
      <c r="J508" s="217"/>
      <c r="K508" s="217"/>
      <c r="L508" s="217"/>
      <c r="M508" s="217"/>
      <c r="N508" s="217"/>
      <c r="O508" s="217"/>
      <c r="P508" s="130"/>
      <c r="Q508" s="130"/>
      <c r="R508" s="130"/>
      <c r="S508" s="130"/>
      <c r="T508" s="130"/>
    </row>
    <row r="509" spans="2:20" ht="15.75" customHeight="1" hidden="1">
      <c r="B509" s="126" t="s">
        <v>387</v>
      </c>
      <c r="C509" s="126"/>
      <c r="D509" s="126"/>
      <c r="E509" s="217"/>
      <c r="F509" s="217"/>
      <c r="G509" s="217"/>
      <c r="H509" s="217"/>
      <c r="I509" s="217"/>
      <c r="J509" s="217"/>
      <c r="K509" s="217"/>
      <c r="L509" s="217"/>
      <c r="M509" s="217"/>
      <c r="N509" s="217"/>
      <c r="O509" s="217"/>
      <c r="P509" s="130"/>
      <c r="Q509" s="130"/>
      <c r="R509" s="130"/>
      <c r="S509" s="130"/>
      <c r="T509" s="130"/>
    </row>
    <row r="510" spans="2:20" ht="15">
      <c r="B510" s="196"/>
      <c r="C510" s="196"/>
      <c r="D510" s="196"/>
      <c r="E510" s="217"/>
      <c r="F510" s="217"/>
      <c r="G510" s="217"/>
      <c r="H510" s="217"/>
      <c r="I510" s="217"/>
      <c r="J510" s="217"/>
      <c r="K510" s="217"/>
      <c r="L510" s="217"/>
      <c r="M510" s="217"/>
      <c r="N510" s="217"/>
      <c r="O510" s="217"/>
      <c r="P510" s="130"/>
      <c r="Q510" s="130"/>
      <c r="R510" s="130"/>
      <c r="S510" s="130"/>
      <c r="T510" s="130"/>
    </row>
    <row r="511" spans="2:20" ht="20.25" customHeight="1" hidden="1" thickBot="1">
      <c r="B511" s="198" t="s">
        <v>5</v>
      </c>
      <c r="C511" s="198"/>
      <c r="D511" s="198"/>
      <c r="E511" s="120"/>
      <c r="F511" s="120"/>
      <c r="G511" s="120"/>
      <c r="H511" s="120"/>
      <c r="I511" s="120"/>
      <c r="J511" s="120"/>
      <c r="K511" s="120"/>
      <c r="L511" s="120"/>
      <c r="M511" s="34"/>
      <c r="N511" s="34"/>
      <c r="O511" s="34"/>
      <c r="P511" s="130"/>
      <c r="Q511" s="130"/>
      <c r="R511" s="130"/>
      <c r="S511" s="130"/>
      <c r="T511" s="130"/>
    </row>
    <row r="512" spans="1:20" ht="16.5" customHeight="1" hidden="1" thickTop="1">
      <c r="A512" s="2"/>
      <c r="B512" s="199"/>
      <c r="C512" s="200"/>
      <c r="D512" s="201"/>
      <c r="E512" s="35"/>
      <c r="F512" s="35" t="e">
        <f>+F15</f>
        <v>#REF!</v>
      </c>
      <c r="G512" s="35" t="e">
        <f>+G15</f>
        <v>#REF!</v>
      </c>
      <c r="H512" s="35" t="e">
        <f>+H15</f>
        <v>#REF!</v>
      </c>
      <c r="I512" s="35" t="s">
        <v>9</v>
      </c>
      <c r="J512" s="35" t="e">
        <f>+J15</f>
        <v>#REF!</v>
      </c>
      <c r="K512" s="35"/>
      <c r="L512" s="35"/>
      <c r="M512" s="35" t="e">
        <f>+M15</f>
        <v>#REF!</v>
      </c>
      <c r="N512" s="36" t="e">
        <f>+N15</f>
        <v>#REF!</v>
      </c>
      <c r="O512" s="36" t="e">
        <f>+O15</f>
        <v>#REF!</v>
      </c>
      <c r="P512" s="130"/>
      <c r="Q512" s="130"/>
      <c r="R512" s="130"/>
      <c r="S512" s="130"/>
      <c r="T512" s="130"/>
    </row>
    <row r="513" spans="1:20" ht="15.75" customHeight="1" hidden="1">
      <c r="A513" s="2"/>
      <c r="B513" s="202"/>
      <c r="C513" s="203"/>
      <c r="D513" s="21"/>
      <c r="E513" s="23"/>
      <c r="F513" s="23"/>
      <c r="G513" s="25" t="e">
        <f aca="true" t="shared" si="79" ref="G513:H515">+G16</f>
        <v>#REF!</v>
      </c>
      <c r="H513" s="25" t="e">
        <f t="shared" si="79"/>
        <v>#REF!</v>
      </c>
      <c r="I513" s="25"/>
      <c r="J513" s="23"/>
      <c r="K513" s="25"/>
      <c r="L513" s="25"/>
      <c r="M513" s="23"/>
      <c r="N513" s="37" t="e">
        <f aca="true" t="shared" si="80" ref="N513:O515">+N16</f>
        <v>#REF!</v>
      </c>
      <c r="O513" s="37" t="e">
        <f t="shared" si="80"/>
        <v>#REF!</v>
      </c>
      <c r="P513" s="130"/>
      <c r="Q513" s="130"/>
      <c r="R513" s="130"/>
      <c r="S513" s="130"/>
      <c r="T513" s="130"/>
    </row>
    <row r="514" spans="1:20" ht="20.25" customHeight="1" hidden="1">
      <c r="A514" s="2"/>
      <c r="B514" s="121" t="s">
        <v>10</v>
      </c>
      <c r="C514" s="203"/>
      <c r="D514" s="21"/>
      <c r="E514" s="23"/>
      <c r="F514" s="23" t="str">
        <f>+F17</f>
        <v>2 0 0 2</v>
      </c>
      <c r="G514" s="25" t="str">
        <f t="shared" si="79"/>
        <v>2002/</v>
      </c>
      <c r="H514" s="25" t="str">
        <f t="shared" si="79"/>
        <v>2002/</v>
      </c>
      <c r="I514" s="25" t="s">
        <v>13</v>
      </c>
      <c r="J514" s="23" t="str">
        <f>+J17</f>
        <v>2 0 0 3</v>
      </c>
      <c r="K514" s="25"/>
      <c r="L514" s="25"/>
      <c r="M514" s="24" t="str">
        <f>+M17</f>
        <v>2 0 0 4</v>
      </c>
      <c r="N514" s="37" t="str">
        <f t="shared" si="80"/>
        <v>2004/</v>
      </c>
      <c r="O514" s="37" t="str">
        <f t="shared" si="80"/>
        <v>2004/</v>
      </c>
      <c r="P514" s="130"/>
      <c r="Q514" s="130"/>
      <c r="R514" s="130"/>
      <c r="S514" s="130"/>
      <c r="T514" s="130"/>
    </row>
    <row r="515" spans="1:20" ht="16.5" customHeight="1" hidden="1" thickBot="1">
      <c r="A515" s="2"/>
      <c r="B515" s="204"/>
      <c r="C515" s="205"/>
      <c r="D515" s="206"/>
      <c r="E515" s="207"/>
      <c r="F515" s="207"/>
      <c r="G515" s="122">
        <f t="shared" si="79"/>
        <v>2001</v>
      </c>
      <c r="H515" s="122">
        <f t="shared" si="79"/>
        <v>2001</v>
      </c>
      <c r="I515" s="122"/>
      <c r="J515" s="207"/>
      <c r="K515" s="122"/>
      <c r="L515" s="122"/>
      <c r="M515" s="154"/>
      <c r="N515" s="38">
        <f t="shared" si="80"/>
        <v>2003</v>
      </c>
      <c r="O515" s="38">
        <f t="shared" si="80"/>
        <v>2003</v>
      </c>
      <c r="P515" s="130"/>
      <c r="Q515" s="130"/>
      <c r="R515" s="130"/>
      <c r="S515" s="130"/>
      <c r="T515" s="130"/>
    </row>
    <row r="516" spans="2:20" ht="20.25" customHeight="1" thickBot="1">
      <c r="B516" s="198" t="s">
        <v>5</v>
      </c>
      <c r="C516" s="198"/>
      <c r="D516" s="198"/>
      <c r="E516" s="120"/>
      <c r="F516" s="120"/>
      <c r="G516" s="120"/>
      <c r="H516" s="120"/>
      <c r="I516" s="120"/>
      <c r="J516" s="120"/>
      <c r="K516" s="120"/>
      <c r="L516" s="120"/>
      <c r="M516" s="34"/>
      <c r="N516" s="34"/>
      <c r="O516" s="34"/>
      <c r="P516" s="130"/>
      <c r="Q516" s="130"/>
      <c r="R516" s="130"/>
      <c r="S516" s="130"/>
      <c r="T516" s="130"/>
    </row>
    <row r="517" spans="1:20" ht="66.75" customHeight="1" thickTop="1">
      <c r="A517" s="2"/>
      <c r="B517" s="199"/>
      <c r="C517" s="200"/>
      <c r="D517" s="262"/>
      <c r="E517" s="362" t="s">
        <v>17</v>
      </c>
      <c r="F517" s="316"/>
      <c r="G517" s="315"/>
      <c r="H517" s="315"/>
      <c r="I517" s="362" t="s">
        <v>18</v>
      </c>
      <c r="J517" s="370" t="s">
        <v>19</v>
      </c>
      <c r="K517" s="365" t="s">
        <v>20</v>
      </c>
      <c r="L517" s="365" t="s">
        <v>21</v>
      </c>
      <c r="M517" s="362" t="s">
        <v>22</v>
      </c>
      <c r="N517" s="315" t="s">
        <v>24</v>
      </c>
      <c r="O517" s="315" t="s">
        <v>23</v>
      </c>
      <c r="P517" s="130"/>
      <c r="Q517" s="130"/>
      <c r="R517" s="130"/>
      <c r="S517" s="130"/>
      <c r="T517" s="130"/>
    </row>
    <row r="518" spans="1:20" ht="18" customHeight="1">
      <c r="A518" s="2"/>
      <c r="B518" s="202"/>
      <c r="C518" s="203"/>
      <c r="D518" s="263"/>
      <c r="E518" s="363"/>
      <c r="F518" s="259"/>
      <c r="G518" s="258"/>
      <c r="H518" s="258"/>
      <c r="I518" s="363"/>
      <c r="J518" s="371">
        <v>2003</v>
      </c>
      <c r="K518" s="366"/>
      <c r="L518" s="366"/>
      <c r="M518" s="405">
        <v>2004</v>
      </c>
      <c r="N518" s="258" t="s">
        <v>27</v>
      </c>
      <c r="O518" s="258" t="s">
        <v>26</v>
      </c>
      <c r="P518" s="130"/>
      <c r="Q518" s="130"/>
      <c r="R518" s="130"/>
      <c r="S518" s="130"/>
      <c r="T518" s="130"/>
    </row>
    <row r="519" spans="1:20" ht="18">
      <c r="A519" s="2"/>
      <c r="B519" s="121" t="s">
        <v>10</v>
      </c>
      <c r="C519" s="203"/>
      <c r="D519" s="263"/>
      <c r="E519" s="363"/>
      <c r="F519" s="259"/>
      <c r="G519" s="258"/>
      <c r="H519" s="258"/>
      <c r="I519" s="363"/>
      <c r="J519" s="363"/>
      <c r="K519" s="366"/>
      <c r="L519" s="366"/>
      <c r="M519" s="363"/>
      <c r="N519" s="258" t="s">
        <v>16</v>
      </c>
      <c r="O519" s="258" t="s">
        <v>16</v>
      </c>
      <c r="P519" s="130"/>
      <c r="Q519" s="130"/>
      <c r="R519" s="130"/>
      <c r="S519" s="130"/>
      <c r="T519" s="130"/>
    </row>
    <row r="520" spans="1:20" ht="18.75" thickBot="1">
      <c r="A520" s="2"/>
      <c r="B520" s="204"/>
      <c r="C520" s="205"/>
      <c r="D520" s="264"/>
      <c r="E520" s="364"/>
      <c r="F520" s="260"/>
      <c r="G520" s="261"/>
      <c r="H520" s="261"/>
      <c r="I520" s="364"/>
      <c r="J520" s="364"/>
      <c r="K520" s="367"/>
      <c r="L520" s="367"/>
      <c r="M520" s="260"/>
      <c r="N520" s="261">
        <v>2003</v>
      </c>
      <c r="O520" s="261">
        <v>2003</v>
      </c>
      <c r="P520" s="130"/>
      <c r="Q520" s="130"/>
      <c r="R520" s="130"/>
      <c r="S520" s="130"/>
      <c r="T520" s="130"/>
    </row>
    <row r="521" spans="1:20" ht="21.75" customHeight="1" hidden="1" thickTop="1">
      <c r="A521" s="2"/>
      <c r="B521" s="213" t="s">
        <v>5</v>
      </c>
      <c r="C521" s="187"/>
      <c r="D521" s="188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30"/>
      <c r="Q521" s="130"/>
      <c r="R521" s="130"/>
      <c r="S521" s="130"/>
      <c r="T521" s="130"/>
    </row>
    <row r="522" spans="1:20" ht="23.25" customHeight="1" hidden="1">
      <c r="A522" s="2"/>
      <c r="B522" s="216"/>
      <c r="C522" s="218" t="s">
        <v>388</v>
      </c>
      <c r="D522" s="219" t="s">
        <v>389</v>
      </c>
      <c r="E522" s="241">
        <f>E524+E531</f>
        <v>155083000</v>
      </c>
      <c r="F522" s="96">
        <f>F524+F531</f>
        <v>50000000</v>
      </c>
      <c r="G522" s="117" t="s">
        <v>347</v>
      </c>
      <c r="H522" s="117" t="s">
        <v>347</v>
      </c>
      <c r="I522" s="241">
        <v>167213267.55</v>
      </c>
      <c r="J522" s="96">
        <f>J524+J531</f>
        <v>249073000</v>
      </c>
      <c r="K522" s="379">
        <f>+J522/E522*100</f>
        <v>160.606256004849</v>
      </c>
      <c r="L522" s="117" t="s">
        <v>347</v>
      </c>
      <c r="M522" s="27">
        <f>M524+M531</f>
        <v>273980300</v>
      </c>
      <c r="N522" s="39" t="s">
        <v>347</v>
      </c>
      <c r="O522" s="39" t="s">
        <v>347</v>
      </c>
      <c r="P522" s="130"/>
      <c r="Q522" s="130"/>
      <c r="R522" s="130"/>
      <c r="S522" s="130"/>
      <c r="T522" s="130"/>
    </row>
    <row r="523" spans="1:20" ht="17.25" thickTop="1">
      <c r="A523" s="2"/>
      <c r="B523" s="12"/>
      <c r="C523" s="13"/>
      <c r="D523" s="183"/>
      <c r="E523" s="103"/>
      <c r="F523" s="66"/>
      <c r="G523" s="66"/>
      <c r="H523" s="66"/>
      <c r="I523" s="66"/>
      <c r="J523" s="66"/>
      <c r="K523" s="66"/>
      <c r="L523" s="66"/>
      <c r="M523" s="28"/>
      <c r="N523" s="28"/>
      <c r="O523" s="28"/>
      <c r="P523" s="130"/>
      <c r="Q523" s="130"/>
      <c r="R523" s="130"/>
      <c r="S523" s="130"/>
      <c r="T523" s="130"/>
    </row>
    <row r="524" spans="1:20" ht="16.5">
      <c r="A524" s="2"/>
      <c r="B524" s="7">
        <v>500</v>
      </c>
      <c r="C524" s="8"/>
      <c r="D524" s="9" t="s">
        <v>390</v>
      </c>
      <c r="E524" s="242">
        <f>+E526+E527+E528</f>
        <v>155083000</v>
      </c>
      <c r="F524" s="101">
        <f>SUM(F525:F529)</f>
        <v>50000000</v>
      </c>
      <c r="G524" s="65">
        <f>+F524/E524*100</f>
        <v>32.24080008769498</v>
      </c>
      <c r="H524" s="66"/>
      <c r="I524" s="242">
        <v>167213267.55</v>
      </c>
      <c r="J524" s="101">
        <f>+'[2]REALJAN-JUN,PROJ  (2)'!$AR$550</f>
        <v>249073000</v>
      </c>
      <c r="K524" s="65">
        <f>+J524/E524*100</f>
        <v>160.606256004849</v>
      </c>
      <c r="L524" s="66"/>
      <c r="M524" s="101">
        <f>+J524*1.1</f>
        <v>273980300</v>
      </c>
      <c r="N524" s="399">
        <f>+M524/J524*100</f>
        <v>110.00000000000001</v>
      </c>
      <c r="O524" s="28"/>
      <c r="P524" s="130"/>
      <c r="Q524" s="130"/>
      <c r="R524" s="130"/>
      <c r="S524" s="130"/>
      <c r="T524" s="130"/>
    </row>
    <row r="525" spans="1:20" ht="16.5" customHeight="1" hidden="1">
      <c r="A525" s="2"/>
      <c r="B525" s="12">
        <v>5000</v>
      </c>
      <c r="C525" s="13"/>
      <c r="D525" s="14" t="s">
        <v>391</v>
      </c>
      <c r="E525" s="103"/>
      <c r="F525" s="66"/>
      <c r="G525" s="65"/>
      <c r="H525" s="66"/>
      <c r="I525" s="66"/>
      <c r="J525" s="66"/>
      <c r="K525" s="65" t="e">
        <f>+J525/E525*100</f>
        <v>#DIV/0!</v>
      </c>
      <c r="L525" s="66"/>
      <c r="M525" s="28"/>
      <c r="N525" s="399"/>
      <c r="O525" s="28"/>
      <c r="P525" s="130"/>
      <c r="Q525" s="130"/>
      <c r="R525" s="130"/>
      <c r="S525" s="130"/>
      <c r="T525" s="130"/>
    </row>
    <row r="526" spans="1:20" ht="16.5" hidden="1">
      <c r="A526" s="2"/>
      <c r="B526" s="12">
        <v>5001</v>
      </c>
      <c r="C526" s="13"/>
      <c r="D526" s="14" t="s">
        <v>392</v>
      </c>
      <c r="E526" s="103">
        <v>59800000</v>
      </c>
      <c r="F526" s="66">
        <v>50000000</v>
      </c>
      <c r="G526" s="65">
        <f>+F526/E526*100</f>
        <v>83.61204013377926</v>
      </c>
      <c r="H526" s="66"/>
      <c r="I526" s="66">
        <v>167213267.55</v>
      </c>
      <c r="J526" s="66">
        <f>+I526*1.05</f>
        <v>175573930.9275</v>
      </c>
      <c r="K526" s="65">
        <f>+J526/E526*100</f>
        <v>293.60189118311035</v>
      </c>
      <c r="L526" s="66"/>
      <c r="M526" s="28" t="s">
        <v>5</v>
      </c>
      <c r="N526" s="399"/>
      <c r="O526" s="28"/>
      <c r="P526" s="130"/>
      <c r="Q526" s="130"/>
      <c r="R526" s="130"/>
      <c r="S526" s="130"/>
      <c r="T526" s="130"/>
    </row>
    <row r="527" spans="1:20" ht="16.5" hidden="1">
      <c r="A527" s="2"/>
      <c r="B527" s="12">
        <v>5002</v>
      </c>
      <c r="C527" s="13"/>
      <c r="D527" s="14" t="s">
        <v>393</v>
      </c>
      <c r="E527" s="103"/>
      <c r="F527" s="66"/>
      <c r="G527" s="65"/>
      <c r="H527" s="66"/>
      <c r="I527" s="66"/>
      <c r="J527" s="66"/>
      <c r="K527" s="65"/>
      <c r="L527" s="66"/>
      <c r="M527" s="28"/>
      <c r="N527" s="399"/>
      <c r="O527" s="28"/>
      <c r="P527" s="130"/>
      <c r="Q527" s="130"/>
      <c r="R527" s="130"/>
      <c r="S527" s="130"/>
      <c r="T527" s="130"/>
    </row>
    <row r="528" spans="1:20" ht="16.5" hidden="1">
      <c r="A528" s="2"/>
      <c r="B528" s="12">
        <v>5003</v>
      </c>
      <c r="C528" s="13"/>
      <c r="D528" s="14" t="s">
        <v>394</v>
      </c>
      <c r="E528" s="242">
        <v>95283000</v>
      </c>
      <c r="F528" s="66"/>
      <c r="G528" s="65"/>
      <c r="H528" s="66"/>
      <c r="I528" s="66">
        <v>0</v>
      </c>
      <c r="J528" s="101">
        <v>0</v>
      </c>
      <c r="K528" s="65">
        <f aca="true" t="shared" si="81" ref="K528:K536">+J528/E528*100</f>
        <v>0</v>
      </c>
      <c r="L528" s="66"/>
      <c r="M528" s="29">
        <v>0</v>
      </c>
      <c r="N528" s="399"/>
      <c r="O528" s="28"/>
      <c r="P528" s="130"/>
      <c r="Q528" s="130"/>
      <c r="R528" s="130"/>
      <c r="S528" s="130"/>
      <c r="T528" s="130"/>
    </row>
    <row r="529" spans="1:20" ht="16.5" customHeight="1" hidden="1">
      <c r="A529" s="2"/>
      <c r="B529" s="12">
        <v>5004</v>
      </c>
      <c r="C529" s="13"/>
      <c r="D529" s="14" t="s">
        <v>395</v>
      </c>
      <c r="E529" s="103"/>
      <c r="F529" s="66"/>
      <c r="G529" s="65"/>
      <c r="H529" s="66"/>
      <c r="I529" s="66"/>
      <c r="J529" s="66"/>
      <c r="K529" s="65" t="e">
        <f t="shared" si="81"/>
        <v>#DIV/0!</v>
      </c>
      <c r="L529" s="66"/>
      <c r="M529" s="28"/>
      <c r="N529" s="399"/>
      <c r="O529" s="28"/>
      <c r="P529" s="130"/>
      <c r="Q529" s="130"/>
      <c r="R529" s="130"/>
      <c r="S529" s="130"/>
      <c r="T529" s="130"/>
    </row>
    <row r="530" spans="1:20" ht="16.5" customHeight="1" hidden="1">
      <c r="A530" s="2"/>
      <c r="B530" s="12"/>
      <c r="C530" s="13"/>
      <c r="D530" s="14"/>
      <c r="E530" s="103"/>
      <c r="F530" s="66"/>
      <c r="G530" s="65"/>
      <c r="H530" s="66"/>
      <c r="I530" s="66"/>
      <c r="J530" s="66"/>
      <c r="K530" s="65" t="e">
        <f t="shared" si="81"/>
        <v>#DIV/0!</v>
      </c>
      <c r="L530" s="66"/>
      <c r="M530" s="28"/>
      <c r="N530" s="399"/>
      <c r="O530" s="28"/>
      <c r="P530" s="130"/>
      <c r="Q530" s="130"/>
      <c r="R530" s="130"/>
      <c r="S530" s="130"/>
      <c r="T530" s="130"/>
    </row>
    <row r="531" spans="1:20" ht="16.5" customHeight="1" hidden="1">
      <c r="A531" s="2"/>
      <c r="B531" s="7">
        <v>501</v>
      </c>
      <c r="C531" s="8"/>
      <c r="D531" s="9" t="s">
        <v>396</v>
      </c>
      <c r="E531" s="103"/>
      <c r="F531" s="66"/>
      <c r="G531" s="65"/>
      <c r="H531" s="66"/>
      <c r="I531" s="66">
        <v>0</v>
      </c>
      <c r="J531" s="66">
        <f>SUM(J532:J536)</f>
        <v>0</v>
      </c>
      <c r="K531" s="65" t="e">
        <f t="shared" si="81"/>
        <v>#DIV/0!</v>
      </c>
      <c r="L531" s="66"/>
      <c r="M531" s="28">
        <f>SUM(M532:M536)</f>
        <v>0</v>
      </c>
      <c r="N531" s="399"/>
      <c r="O531" s="28"/>
      <c r="P531" s="130"/>
      <c r="Q531" s="130"/>
      <c r="R531" s="130"/>
      <c r="S531" s="130"/>
      <c r="T531" s="130"/>
    </row>
    <row r="532" spans="1:20" ht="16.5" customHeight="1" hidden="1">
      <c r="A532" s="2"/>
      <c r="B532" s="12">
        <v>5010</v>
      </c>
      <c r="C532" s="13"/>
      <c r="D532" s="14" t="s">
        <v>397</v>
      </c>
      <c r="E532" s="103"/>
      <c r="F532" s="66"/>
      <c r="G532" s="65"/>
      <c r="H532" s="66"/>
      <c r="I532" s="66"/>
      <c r="J532" s="66"/>
      <c r="K532" s="65" t="e">
        <f t="shared" si="81"/>
        <v>#DIV/0!</v>
      </c>
      <c r="L532" s="66"/>
      <c r="M532" s="28"/>
      <c r="N532" s="399"/>
      <c r="O532" s="28"/>
      <c r="P532" s="130"/>
      <c r="Q532" s="130"/>
      <c r="R532" s="130"/>
      <c r="S532" s="130"/>
      <c r="T532" s="130"/>
    </row>
    <row r="533" spans="1:20" ht="16.5" customHeight="1" hidden="1">
      <c r="A533" s="2"/>
      <c r="B533" s="12">
        <v>5011</v>
      </c>
      <c r="C533" s="13"/>
      <c r="D533" s="14" t="s">
        <v>398</v>
      </c>
      <c r="E533" s="103"/>
      <c r="F533" s="66"/>
      <c r="G533" s="65"/>
      <c r="H533" s="66"/>
      <c r="I533" s="66"/>
      <c r="J533" s="66"/>
      <c r="K533" s="65" t="e">
        <f t="shared" si="81"/>
        <v>#DIV/0!</v>
      </c>
      <c r="L533" s="66"/>
      <c r="M533" s="28"/>
      <c r="N533" s="399"/>
      <c r="O533" s="28"/>
      <c r="P533" s="130"/>
      <c r="Q533" s="130"/>
      <c r="R533" s="130"/>
      <c r="S533" s="130"/>
      <c r="T533" s="130"/>
    </row>
    <row r="534" spans="1:20" ht="16.5" customHeight="1" hidden="1">
      <c r="A534" s="2"/>
      <c r="B534" s="12">
        <v>5012</v>
      </c>
      <c r="C534" s="13"/>
      <c r="D534" s="14" t="s">
        <v>399</v>
      </c>
      <c r="E534" s="103"/>
      <c r="F534" s="66"/>
      <c r="G534" s="65"/>
      <c r="H534" s="66"/>
      <c r="I534" s="66"/>
      <c r="J534" s="66"/>
      <c r="K534" s="65" t="e">
        <f t="shared" si="81"/>
        <v>#DIV/0!</v>
      </c>
      <c r="L534" s="66"/>
      <c r="M534" s="28"/>
      <c r="N534" s="399"/>
      <c r="O534" s="28"/>
      <c r="P534" s="130"/>
      <c r="Q534" s="130"/>
      <c r="R534" s="130"/>
      <c r="S534" s="130"/>
      <c r="T534" s="130"/>
    </row>
    <row r="535" spans="1:20" ht="16.5" customHeight="1" hidden="1">
      <c r="A535" s="2"/>
      <c r="B535" s="12">
        <v>5013</v>
      </c>
      <c r="C535" s="13"/>
      <c r="D535" s="14" t="s">
        <v>400</v>
      </c>
      <c r="E535" s="103"/>
      <c r="F535" s="66"/>
      <c r="G535" s="65"/>
      <c r="H535" s="66"/>
      <c r="I535" s="66"/>
      <c r="J535" s="66"/>
      <c r="K535" s="65" t="e">
        <f t="shared" si="81"/>
        <v>#DIV/0!</v>
      </c>
      <c r="L535" s="66"/>
      <c r="M535" s="28"/>
      <c r="N535" s="399"/>
      <c r="O535" s="28"/>
      <c r="P535" s="130"/>
      <c r="Q535" s="130"/>
      <c r="R535" s="130"/>
      <c r="S535" s="130"/>
      <c r="T535" s="130"/>
    </row>
    <row r="536" spans="1:20" ht="17.25" customHeight="1" hidden="1" thickBot="1">
      <c r="A536" s="2"/>
      <c r="B536" s="17">
        <v>5014</v>
      </c>
      <c r="C536" s="18"/>
      <c r="D536" s="19" t="s">
        <v>401</v>
      </c>
      <c r="E536" s="243"/>
      <c r="F536" s="93"/>
      <c r="G536" s="92"/>
      <c r="H536" s="93"/>
      <c r="I536" s="93"/>
      <c r="J536" s="93"/>
      <c r="K536" s="92" t="e">
        <f t="shared" si="81"/>
        <v>#DIV/0!</v>
      </c>
      <c r="L536" s="93"/>
      <c r="M536" s="30"/>
      <c r="N536" s="400"/>
      <c r="O536" s="30"/>
      <c r="P536" s="130"/>
      <c r="Q536" s="130"/>
      <c r="R536" s="130"/>
      <c r="S536" s="130"/>
      <c r="T536" s="130"/>
    </row>
    <row r="537" spans="1:20" ht="17.25" customHeight="1" thickBot="1">
      <c r="A537" s="2"/>
      <c r="B537" s="220"/>
      <c r="C537" s="20"/>
      <c r="D537" s="21"/>
      <c r="E537" s="244"/>
      <c r="F537" s="106"/>
      <c r="G537" s="127"/>
      <c r="H537" s="106"/>
      <c r="I537" s="106"/>
      <c r="J537" s="106"/>
      <c r="K537" s="127"/>
      <c r="L537" s="106"/>
      <c r="M537" s="31"/>
      <c r="N537" s="401"/>
      <c r="O537" s="31"/>
      <c r="P537" s="130"/>
      <c r="Q537" s="130"/>
      <c r="R537" s="130"/>
      <c r="S537" s="130"/>
      <c r="T537" s="130"/>
    </row>
    <row r="538" spans="1:33" ht="18" customHeight="1" thickTop="1">
      <c r="A538" s="2"/>
      <c r="B538" s="221" t="s">
        <v>5</v>
      </c>
      <c r="C538" s="178"/>
      <c r="D538" s="179"/>
      <c r="E538" s="245"/>
      <c r="F538" s="107"/>
      <c r="G538" s="128"/>
      <c r="H538" s="107"/>
      <c r="I538" s="107"/>
      <c r="J538" s="107"/>
      <c r="K538" s="128"/>
      <c r="L538" s="107"/>
      <c r="M538" s="107"/>
      <c r="N538" s="128"/>
      <c r="O538" s="107"/>
      <c r="P538" s="183"/>
      <c r="Q538" s="183"/>
      <c r="R538" s="183"/>
      <c r="S538" s="183"/>
      <c r="T538" s="183"/>
      <c r="U538" s="380"/>
      <c r="V538" s="380"/>
      <c r="W538" s="380"/>
      <c r="X538" s="380"/>
      <c r="Y538" s="380"/>
      <c r="Z538" s="380"/>
      <c r="AA538" s="380"/>
      <c r="AB538" s="380"/>
      <c r="AC538" s="380"/>
      <c r="AD538" s="380"/>
      <c r="AE538" s="380"/>
      <c r="AF538" s="380"/>
      <c r="AG538" s="380"/>
    </row>
    <row r="539" spans="1:33" ht="15.75" hidden="1">
      <c r="A539" s="2"/>
      <c r="B539" s="216"/>
      <c r="C539" s="166" t="s">
        <v>402</v>
      </c>
      <c r="D539" s="116" t="s">
        <v>403</v>
      </c>
      <c r="E539" s="241">
        <f>E541+E549</f>
        <v>147397000</v>
      </c>
      <c r="F539" s="96">
        <f>F541+F549</f>
        <v>41931716</v>
      </c>
      <c r="G539" s="129" t="s">
        <v>347</v>
      </c>
      <c r="H539" s="117" t="s">
        <v>347</v>
      </c>
      <c r="I539" s="241">
        <v>155476731</v>
      </c>
      <c r="J539" s="96">
        <f>J541+J549</f>
        <v>233393000</v>
      </c>
      <c r="K539" s="396">
        <f>+J539/E539*100</f>
        <v>158.343114174644</v>
      </c>
      <c r="L539" s="117" t="s">
        <v>347</v>
      </c>
      <c r="M539" s="96">
        <f>M541+M549</f>
        <v>259567463.4180625</v>
      </c>
      <c r="N539" s="129" t="s">
        <v>347</v>
      </c>
      <c r="O539" s="117" t="s">
        <v>347</v>
      </c>
      <c r="P539" s="183"/>
      <c r="Q539" s="183"/>
      <c r="R539" s="183"/>
      <c r="S539" s="183"/>
      <c r="T539" s="183"/>
      <c r="U539" s="380"/>
      <c r="V539" s="380"/>
      <c r="W539" s="380"/>
      <c r="X539" s="380"/>
      <c r="Y539" s="380"/>
      <c r="Z539" s="380"/>
      <c r="AA539" s="380"/>
      <c r="AB539" s="380"/>
      <c r="AC539" s="380"/>
      <c r="AD539" s="380"/>
      <c r="AE539" s="380"/>
      <c r="AF539" s="380"/>
      <c r="AG539" s="380"/>
    </row>
    <row r="540" spans="1:33" ht="15" hidden="1">
      <c r="A540" s="2"/>
      <c r="B540" s="12"/>
      <c r="C540" s="13"/>
      <c r="D540" s="14"/>
      <c r="E540" s="103"/>
      <c r="F540" s="66"/>
      <c r="G540" s="65"/>
      <c r="H540" s="66"/>
      <c r="I540" s="66"/>
      <c r="J540" s="66"/>
      <c r="K540" s="65"/>
      <c r="L540" s="66"/>
      <c r="M540" s="66"/>
      <c r="N540" s="65"/>
      <c r="O540" s="66"/>
      <c r="P540" s="183"/>
      <c r="Q540" s="183"/>
      <c r="R540" s="183"/>
      <c r="S540" s="183"/>
      <c r="T540" s="183"/>
      <c r="U540" s="380"/>
      <c r="V540" s="380"/>
      <c r="W540" s="380"/>
      <c r="X540" s="380"/>
      <c r="Y540" s="380"/>
      <c r="Z540" s="380"/>
      <c r="AA540" s="380"/>
      <c r="AB540" s="380"/>
      <c r="AC540" s="380"/>
      <c r="AD540" s="380"/>
      <c r="AE540" s="380"/>
      <c r="AF540" s="380"/>
      <c r="AG540" s="380"/>
    </row>
    <row r="541" spans="1:33" ht="16.5">
      <c r="A541" s="2"/>
      <c r="B541" s="7">
        <v>550</v>
      </c>
      <c r="C541" s="8"/>
      <c r="D541" s="9" t="s">
        <v>404</v>
      </c>
      <c r="E541" s="242">
        <f>+E543+E544+E545</f>
        <v>147397000</v>
      </c>
      <c r="F541" s="101">
        <f>SUM(F542:F546)</f>
        <v>41931716</v>
      </c>
      <c r="G541" s="323">
        <f>+F541/E541*100</f>
        <v>28.44814751996309</v>
      </c>
      <c r="H541" s="101"/>
      <c r="I541" s="242">
        <v>155476731</v>
      </c>
      <c r="J541" s="101">
        <f>+'[2]REALJAN-JUN,PROJ  (2)'!$AR$567</f>
        <v>233393000</v>
      </c>
      <c r="K541" s="65">
        <f>+J541/E541*100</f>
        <v>158.343114174644</v>
      </c>
      <c r="L541" s="66"/>
      <c r="M541" s="101">
        <f>+M524+M448+M501</f>
        <v>259567463.4180625</v>
      </c>
      <c r="N541" s="399">
        <f>+M541/J541*100</f>
        <v>111.21475940497893</v>
      </c>
      <c r="O541" s="66"/>
      <c r="P541" s="183"/>
      <c r="Q541" s="183"/>
      <c r="R541" s="183"/>
      <c r="S541" s="183"/>
      <c r="T541" s="183"/>
      <c r="U541" s="380"/>
      <c r="V541" s="380"/>
      <c r="W541" s="380"/>
      <c r="X541" s="380"/>
      <c r="Y541" s="380"/>
      <c r="Z541" s="380"/>
      <c r="AA541" s="380"/>
      <c r="AB541" s="380"/>
      <c r="AC541" s="380"/>
      <c r="AD541" s="380"/>
      <c r="AE541" s="380"/>
      <c r="AF541" s="380"/>
      <c r="AG541" s="380"/>
    </row>
    <row r="542" spans="1:33" ht="16.5" customHeight="1" hidden="1">
      <c r="A542" s="2"/>
      <c r="B542" s="12">
        <v>5500</v>
      </c>
      <c r="C542" s="13"/>
      <c r="D542" s="14" t="s">
        <v>405</v>
      </c>
      <c r="E542" s="103"/>
      <c r="F542" s="66"/>
      <c r="G542" s="65" t="e">
        <f>+F542/E542*100</f>
        <v>#DIV/0!</v>
      </c>
      <c r="H542" s="66"/>
      <c r="I542" s="66"/>
      <c r="J542" s="66"/>
      <c r="K542" s="65" t="e">
        <f>+J542/E542*100</f>
        <v>#DIV/0!</v>
      </c>
      <c r="L542" s="66"/>
      <c r="M542" s="66"/>
      <c r="N542" s="65"/>
      <c r="O542" s="66"/>
      <c r="P542" s="183"/>
      <c r="Q542" s="183"/>
      <c r="R542" s="183"/>
      <c r="S542" s="183"/>
      <c r="T542" s="183"/>
      <c r="U542" s="380"/>
      <c r="V542" s="380"/>
      <c r="W542" s="380"/>
      <c r="X542" s="380"/>
      <c r="Y542" s="380"/>
      <c r="Z542" s="380"/>
      <c r="AA542" s="380"/>
      <c r="AB542" s="380"/>
      <c r="AC542" s="380"/>
      <c r="AD542" s="380"/>
      <c r="AE542" s="380"/>
      <c r="AF542" s="380"/>
      <c r="AG542" s="380"/>
    </row>
    <row r="543" spans="1:33" ht="18.75" customHeight="1" hidden="1">
      <c r="A543" s="2"/>
      <c r="B543" s="12">
        <v>5501</v>
      </c>
      <c r="C543" s="13"/>
      <c r="D543" s="14" t="s">
        <v>406</v>
      </c>
      <c r="E543" s="103">
        <v>59800000</v>
      </c>
      <c r="F543" s="66">
        <v>41931716</v>
      </c>
      <c r="G543" s="65">
        <f>+F543/E543*100</f>
        <v>70.11992642140467</v>
      </c>
      <c r="H543" s="66"/>
      <c r="I543" s="66">
        <v>155476731</v>
      </c>
      <c r="J543" s="66">
        <f>156220375-3382994</f>
        <v>152837381</v>
      </c>
      <c r="K543" s="65">
        <f>+J543/E543*100</f>
        <v>255.58090468227425</v>
      </c>
      <c r="L543" s="66"/>
      <c r="M543" s="66" t="s">
        <v>5</v>
      </c>
      <c r="N543" s="65"/>
      <c r="O543" s="66"/>
      <c r="P543" s="183"/>
      <c r="Q543" s="183"/>
      <c r="R543" s="183"/>
      <c r="S543" s="183"/>
      <c r="T543" s="183"/>
      <c r="U543" s="380"/>
      <c r="V543" s="380"/>
      <c r="W543" s="380"/>
      <c r="X543" s="380"/>
      <c r="Y543" s="380"/>
      <c r="Z543" s="380"/>
      <c r="AA543" s="380"/>
      <c r="AB543" s="380"/>
      <c r="AC543" s="380"/>
      <c r="AD543" s="380"/>
      <c r="AE543" s="380"/>
      <c r="AF543" s="380"/>
      <c r="AG543" s="380"/>
    </row>
    <row r="544" spans="1:33" ht="15" hidden="1">
      <c r="A544" s="2"/>
      <c r="B544" s="12">
        <v>5502</v>
      </c>
      <c r="C544" s="13"/>
      <c r="D544" s="14" t="s">
        <v>407</v>
      </c>
      <c r="E544" s="66"/>
      <c r="F544" s="66"/>
      <c r="G544" s="66"/>
      <c r="H544" s="66"/>
      <c r="I544" s="66"/>
      <c r="J544" s="66"/>
      <c r="K544" s="65"/>
      <c r="L544" s="66"/>
      <c r="M544" s="66"/>
      <c r="N544" s="65"/>
      <c r="O544" s="66"/>
      <c r="P544" s="183"/>
      <c r="Q544" s="183"/>
      <c r="R544" s="183"/>
      <c r="S544" s="183"/>
      <c r="T544" s="183"/>
      <c r="U544" s="380"/>
      <c r="V544" s="380"/>
      <c r="W544" s="380"/>
      <c r="X544" s="380"/>
      <c r="Y544" s="380"/>
      <c r="Z544" s="380"/>
      <c r="AA544" s="380"/>
      <c r="AB544" s="380"/>
      <c r="AC544" s="380"/>
      <c r="AD544" s="380"/>
      <c r="AE544" s="380"/>
      <c r="AF544" s="380"/>
      <c r="AG544" s="380"/>
    </row>
    <row r="545" spans="1:33" ht="15" hidden="1">
      <c r="A545" s="2"/>
      <c r="B545" s="12">
        <v>5503</v>
      </c>
      <c r="C545" s="13"/>
      <c r="D545" s="14" t="s">
        <v>408</v>
      </c>
      <c r="E545" s="66">
        <v>87597000</v>
      </c>
      <c r="F545" s="66"/>
      <c r="G545" s="66"/>
      <c r="H545" s="66"/>
      <c r="I545" s="66"/>
      <c r="J545" s="66"/>
      <c r="K545" s="65"/>
      <c r="L545" s="66"/>
      <c r="M545" s="66"/>
      <c r="N545" s="65"/>
      <c r="O545" s="66"/>
      <c r="P545" s="183"/>
      <c r="Q545" s="183"/>
      <c r="R545" s="183"/>
      <c r="S545" s="183"/>
      <c r="T545" s="183"/>
      <c r="U545" s="380"/>
      <c r="V545" s="380"/>
      <c r="W545" s="380"/>
      <c r="X545" s="380"/>
      <c r="Y545" s="380"/>
      <c r="Z545" s="380"/>
      <c r="AA545" s="380"/>
      <c r="AB545" s="380"/>
      <c r="AC545" s="380"/>
      <c r="AD545" s="380"/>
      <c r="AE545" s="380"/>
      <c r="AF545" s="380"/>
      <c r="AG545" s="380"/>
    </row>
    <row r="546" spans="1:33" ht="16.5" customHeight="1" hidden="1">
      <c r="A546" s="2"/>
      <c r="B546" s="12">
        <v>5504</v>
      </c>
      <c r="C546" s="13"/>
      <c r="D546" s="14" t="s">
        <v>409</v>
      </c>
      <c r="E546" s="66"/>
      <c r="F546" s="66"/>
      <c r="G546" s="66"/>
      <c r="H546" s="66"/>
      <c r="I546" s="66"/>
      <c r="J546" s="66"/>
      <c r="K546" s="65" t="e">
        <f>+J546/E546*100</f>
        <v>#DIV/0!</v>
      </c>
      <c r="L546" s="66"/>
      <c r="M546" s="66"/>
      <c r="N546" s="65"/>
      <c r="O546" s="66"/>
      <c r="P546" s="183"/>
      <c r="Q546" s="183"/>
      <c r="R546" s="183"/>
      <c r="S546" s="183"/>
      <c r="T546" s="183"/>
      <c r="U546" s="380"/>
      <c r="V546" s="380"/>
      <c r="W546" s="380"/>
      <c r="X546" s="380"/>
      <c r="Y546" s="380"/>
      <c r="Z546" s="380"/>
      <c r="AA546" s="380"/>
      <c r="AB546" s="380"/>
      <c r="AC546" s="380"/>
      <c r="AD546" s="380"/>
      <c r="AE546" s="380"/>
      <c r="AF546" s="380"/>
      <c r="AG546" s="380"/>
    </row>
    <row r="547" spans="1:33" ht="16.5" customHeight="1" thickBot="1">
      <c r="A547" s="2"/>
      <c r="B547" s="389"/>
      <c r="C547" s="390"/>
      <c r="D547" s="391"/>
      <c r="E547" s="392"/>
      <c r="F547" s="392"/>
      <c r="G547" s="392"/>
      <c r="H547" s="392"/>
      <c r="I547" s="392"/>
      <c r="J547" s="392"/>
      <c r="K547" s="397"/>
      <c r="L547" s="392"/>
      <c r="M547" s="392"/>
      <c r="N547" s="397"/>
      <c r="O547" s="392"/>
      <c r="P547" s="183"/>
      <c r="Q547" s="183"/>
      <c r="R547" s="183"/>
      <c r="S547" s="183"/>
      <c r="T547" s="183"/>
      <c r="U547" s="380"/>
      <c r="V547" s="380"/>
      <c r="W547" s="380"/>
      <c r="X547" s="380"/>
      <c r="Y547" s="380"/>
      <c r="Z547" s="380"/>
      <c r="AA547" s="380"/>
      <c r="AB547" s="380"/>
      <c r="AC547" s="380"/>
      <c r="AD547" s="380"/>
      <c r="AE547" s="380"/>
      <c r="AF547" s="380"/>
      <c r="AG547" s="380"/>
    </row>
    <row r="548" spans="1:33" ht="18" customHeight="1">
      <c r="A548" s="2"/>
      <c r="B548" s="385"/>
      <c r="C548" s="63"/>
      <c r="D548" s="386" t="s">
        <v>410</v>
      </c>
      <c r="E548" s="387">
        <f>+E524-E541</f>
        <v>7686000</v>
      </c>
      <c r="F548" s="387"/>
      <c r="G548" s="387"/>
      <c r="H548" s="387"/>
      <c r="I548" s="388"/>
      <c r="J548" s="387">
        <f>+J524-J541</f>
        <v>15680000</v>
      </c>
      <c r="K548" s="398"/>
      <c r="L548" s="387"/>
      <c r="M548" s="387">
        <f>+M524-M541</f>
        <v>14412836.581937492</v>
      </c>
      <c r="N548" s="402"/>
      <c r="O548" s="387"/>
      <c r="P548" s="183"/>
      <c r="Q548" s="183"/>
      <c r="R548" s="183"/>
      <c r="S548" s="183"/>
      <c r="T548" s="183"/>
      <c r="U548" s="380"/>
      <c r="V548" s="380"/>
      <c r="W548" s="380"/>
      <c r="X548" s="380"/>
      <c r="Y548" s="380"/>
      <c r="Z548" s="380"/>
      <c r="AA548" s="380"/>
      <c r="AB548" s="380"/>
      <c r="AC548" s="380"/>
      <c r="AD548" s="380"/>
      <c r="AE548" s="380"/>
      <c r="AF548" s="380"/>
      <c r="AG548" s="380"/>
    </row>
    <row r="549" spans="1:138" ht="17.25" customHeight="1" hidden="1" thickBot="1">
      <c r="A549" s="3"/>
      <c r="B549" s="7">
        <v>551</v>
      </c>
      <c r="C549" s="8"/>
      <c r="D549" s="9" t="s">
        <v>411</v>
      </c>
      <c r="E549" s="101"/>
      <c r="F549" s="101">
        <f>SUM(F550:F553)</f>
        <v>0</v>
      </c>
      <c r="G549" s="101"/>
      <c r="H549" s="101"/>
      <c r="I549" s="101">
        <v>0</v>
      </c>
      <c r="J549" s="101">
        <f>SUM(J550:J553)</f>
        <v>0</v>
      </c>
      <c r="K549" s="101" t="e">
        <f aca="true" t="shared" si="82" ref="K549:K554">+J549/E549*100</f>
        <v>#DIV/0!</v>
      </c>
      <c r="L549" s="101"/>
      <c r="M549" s="101">
        <f>SUM(M550:M553)</f>
        <v>0</v>
      </c>
      <c r="N549" s="323"/>
      <c r="O549" s="101"/>
      <c r="P549" s="182"/>
      <c r="Q549" s="182"/>
      <c r="R549" s="182"/>
      <c r="S549" s="182"/>
      <c r="T549" s="182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</row>
    <row r="550" spans="1:33" ht="17.25" customHeight="1" hidden="1" thickBot="1">
      <c r="A550" s="2"/>
      <c r="B550" s="12">
        <v>5510</v>
      </c>
      <c r="C550" s="13"/>
      <c r="D550" s="9" t="s">
        <v>412</v>
      </c>
      <c r="E550" s="101"/>
      <c r="F550" s="101"/>
      <c r="G550" s="101"/>
      <c r="H550" s="101"/>
      <c r="I550" s="101"/>
      <c r="J550" s="101"/>
      <c r="K550" s="101" t="e">
        <f t="shared" si="82"/>
        <v>#DIV/0!</v>
      </c>
      <c r="L550" s="101"/>
      <c r="M550" s="101"/>
      <c r="N550" s="323"/>
      <c r="O550" s="101"/>
      <c r="P550" s="183"/>
      <c r="Q550" s="183"/>
      <c r="R550" s="183"/>
      <c r="S550" s="183"/>
      <c r="T550" s="183"/>
      <c r="U550" s="380"/>
      <c r="V550" s="380"/>
      <c r="W550" s="380"/>
      <c r="X550" s="380"/>
      <c r="Y550" s="380"/>
      <c r="Z550" s="380"/>
      <c r="AA550" s="380"/>
      <c r="AB550" s="380"/>
      <c r="AC550" s="380"/>
      <c r="AD550" s="380"/>
      <c r="AE550" s="380"/>
      <c r="AF550" s="380"/>
      <c r="AG550" s="380"/>
    </row>
    <row r="551" spans="1:33" ht="17.25" customHeight="1" hidden="1" thickBot="1">
      <c r="A551" s="2"/>
      <c r="B551" s="12">
        <v>5511</v>
      </c>
      <c r="C551" s="13"/>
      <c r="D551" s="9" t="s">
        <v>413</v>
      </c>
      <c r="E551" s="101"/>
      <c r="F551" s="101"/>
      <c r="G551" s="101"/>
      <c r="H551" s="101"/>
      <c r="I551" s="101"/>
      <c r="J551" s="101"/>
      <c r="K551" s="101" t="e">
        <f t="shared" si="82"/>
        <v>#DIV/0!</v>
      </c>
      <c r="L551" s="101"/>
      <c r="M551" s="101"/>
      <c r="N551" s="323"/>
      <c r="O551" s="101"/>
      <c r="P551" s="183"/>
      <c r="Q551" s="183"/>
      <c r="R551" s="183"/>
      <c r="S551" s="183"/>
      <c r="T551" s="183"/>
      <c r="U551" s="380"/>
      <c r="V551" s="380"/>
      <c r="W551" s="380"/>
      <c r="X551" s="380"/>
      <c r="Y551" s="380"/>
      <c r="Z551" s="380"/>
      <c r="AA551" s="380"/>
      <c r="AB551" s="380"/>
      <c r="AC551" s="380"/>
      <c r="AD551" s="380"/>
      <c r="AE551" s="380"/>
      <c r="AF551" s="380"/>
      <c r="AG551" s="380"/>
    </row>
    <row r="552" spans="1:33" ht="17.25" customHeight="1" hidden="1" thickBot="1">
      <c r="A552" s="2"/>
      <c r="B552" s="12">
        <v>5512</v>
      </c>
      <c r="C552" s="13"/>
      <c r="D552" s="9" t="s">
        <v>414</v>
      </c>
      <c r="E552" s="101"/>
      <c r="F552" s="101"/>
      <c r="G552" s="101"/>
      <c r="H552" s="101"/>
      <c r="I552" s="101"/>
      <c r="J552" s="101"/>
      <c r="K552" s="101" t="e">
        <f t="shared" si="82"/>
        <v>#DIV/0!</v>
      </c>
      <c r="L552" s="101"/>
      <c r="M552" s="101"/>
      <c r="N552" s="323"/>
      <c r="O552" s="101"/>
      <c r="P552" s="183"/>
      <c r="Q552" s="183"/>
      <c r="R552" s="183"/>
      <c r="S552" s="183"/>
      <c r="T552" s="183"/>
      <c r="U552" s="380"/>
      <c r="V552" s="380"/>
      <c r="W552" s="380"/>
      <c r="X552" s="380"/>
      <c r="Y552" s="380"/>
      <c r="Z552" s="380"/>
      <c r="AA552" s="380"/>
      <c r="AB552" s="380"/>
      <c r="AC552" s="380"/>
      <c r="AD552" s="380"/>
      <c r="AE552" s="380"/>
      <c r="AF552" s="380"/>
      <c r="AG552" s="380"/>
    </row>
    <row r="553" spans="1:33" ht="17.25" customHeight="1" hidden="1" thickBot="1">
      <c r="A553" s="2"/>
      <c r="B553" s="17">
        <v>5513</v>
      </c>
      <c r="C553" s="18"/>
      <c r="D553" s="381" t="s">
        <v>415</v>
      </c>
      <c r="E553" s="125"/>
      <c r="F553" s="125"/>
      <c r="G553" s="125"/>
      <c r="H553" s="125"/>
      <c r="I553" s="125"/>
      <c r="J553" s="125"/>
      <c r="K553" s="125" t="e">
        <f t="shared" si="82"/>
        <v>#DIV/0!</v>
      </c>
      <c r="L553" s="125"/>
      <c r="M553" s="125"/>
      <c r="N553" s="403"/>
      <c r="O553" s="125"/>
      <c r="P553" s="183"/>
      <c r="Q553" s="183"/>
      <c r="R553" s="183"/>
      <c r="S553" s="183"/>
      <c r="T553" s="183"/>
      <c r="U553" s="380"/>
      <c r="V553" s="380"/>
      <c r="W553" s="380"/>
      <c r="X553" s="380"/>
      <c r="Y553" s="380"/>
      <c r="Z553" s="380"/>
      <c r="AA553" s="380"/>
      <c r="AB553" s="380"/>
      <c r="AC553" s="380"/>
      <c r="AD553" s="380"/>
      <c r="AE553" s="380"/>
      <c r="AF553" s="380"/>
      <c r="AG553" s="380"/>
    </row>
    <row r="554" spans="1:33" ht="17.25" customHeight="1" hidden="1" thickBot="1">
      <c r="A554" s="2"/>
      <c r="B554" s="17"/>
      <c r="C554" s="18"/>
      <c r="D554" s="382"/>
      <c r="E554" s="125"/>
      <c r="F554" s="125"/>
      <c r="G554" s="125"/>
      <c r="H554" s="125"/>
      <c r="I554" s="125"/>
      <c r="J554" s="125"/>
      <c r="K554" s="425" t="e">
        <f t="shared" si="82"/>
        <v>#DIV/0!</v>
      </c>
      <c r="L554" s="125"/>
      <c r="M554" s="125"/>
      <c r="N554" s="403"/>
      <c r="O554" s="125"/>
      <c r="P554" s="183"/>
      <c r="Q554" s="183"/>
      <c r="R554" s="183"/>
      <c r="S554" s="183"/>
      <c r="T554" s="183"/>
      <c r="U554" s="380"/>
      <c r="V554" s="380"/>
      <c r="W554" s="380"/>
      <c r="X554" s="380"/>
      <c r="Y554" s="380"/>
      <c r="Z554" s="380"/>
      <c r="AA554" s="380"/>
      <c r="AB554" s="380"/>
      <c r="AC554" s="380"/>
      <c r="AD554" s="380"/>
      <c r="AE554" s="380"/>
      <c r="AF554" s="380"/>
      <c r="AG554" s="380"/>
    </row>
    <row r="555" spans="1:33" ht="17.25" customHeight="1">
      <c r="A555" s="2"/>
      <c r="B555" s="220"/>
      <c r="C555" s="20"/>
      <c r="D555" s="383"/>
      <c r="E555" s="384"/>
      <c r="F555" s="384"/>
      <c r="G555" s="384"/>
      <c r="H555" s="384"/>
      <c r="I555" s="384"/>
      <c r="J555" s="429"/>
      <c r="K555" s="384"/>
      <c r="L555" s="430"/>
      <c r="M555" s="384"/>
      <c r="N555" s="404"/>
      <c r="O555" s="384"/>
      <c r="P555" s="183"/>
      <c r="Q555" s="183"/>
      <c r="R555" s="183"/>
      <c r="S555" s="183"/>
      <c r="T555" s="183"/>
      <c r="U555" s="380"/>
      <c r="V555" s="380"/>
      <c r="W555" s="380"/>
      <c r="X555" s="380"/>
      <c r="Y555" s="380"/>
      <c r="Z555" s="380"/>
      <c r="AA555" s="380"/>
      <c r="AB555" s="380"/>
      <c r="AC555" s="380"/>
      <c r="AD555" s="380"/>
      <c r="AE555" s="380"/>
      <c r="AF555" s="380"/>
      <c r="AG555" s="380"/>
    </row>
    <row r="556" spans="1:33" ht="17.25" customHeight="1" thickBot="1">
      <c r="A556" s="2"/>
      <c r="B556" s="220"/>
      <c r="C556" s="20"/>
      <c r="D556" s="383" t="s">
        <v>416</v>
      </c>
      <c r="E556" s="384">
        <f>+E548</f>
        <v>7686000</v>
      </c>
      <c r="F556" s="384"/>
      <c r="G556" s="384"/>
      <c r="H556" s="384"/>
      <c r="I556" s="384"/>
      <c r="J556" s="384">
        <f>+E556+J548</f>
        <v>23366000</v>
      </c>
      <c r="K556" s="409"/>
      <c r="L556" s="384"/>
      <c r="M556" s="384">
        <f>+J556+M548</f>
        <v>37778836.58193749</v>
      </c>
      <c r="N556" s="384"/>
      <c r="O556" s="384"/>
      <c r="P556" s="183"/>
      <c r="Q556" s="183"/>
      <c r="R556" s="183"/>
      <c r="S556" s="183"/>
      <c r="T556" s="183"/>
      <c r="U556" s="380"/>
      <c r="V556" s="380"/>
      <c r="W556" s="380"/>
      <c r="X556" s="380"/>
      <c r="Y556" s="380"/>
      <c r="Z556" s="380"/>
      <c r="AA556" s="380"/>
      <c r="AB556" s="380"/>
      <c r="AC556" s="380"/>
      <c r="AD556" s="380"/>
      <c r="AE556" s="380"/>
      <c r="AF556" s="380"/>
      <c r="AG556" s="380"/>
    </row>
    <row r="557" spans="1:20" ht="17.25" thickTop="1">
      <c r="A557" s="2"/>
      <c r="B557" s="342" t="s">
        <v>5</v>
      </c>
      <c r="C557" s="343" t="s">
        <v>417</v>
      </c>
      <c r="D557" s="265" t="s">
        <v>418</v>
      </c>
      <c r="E557" s="266"/>
      <c r="F557" s="266"/>
      <c r="G557" s="266"/>
      <c r="H557" s="266"/>
      <c r="I557" s="266"/>
      <c r="J557" s="266"/>
      <c r="K557" s="266"/>
      <c r="L557" s="266"/>
      <c r="M557" s="267"/>
      <c r="N557" s="267"/>
      <c r="O557" s="267"/>
      <c r="P557" s="130"/>
      <c r="Q557" s="130"/>
      <c r="R557" s="130"/>
      <c r="S557" s="130"/>
      <c r="T557" s="130"/>
    </row>
    <row r="558" spans="1:20" ht="17.25" thickBot="1">
      <c r="A558" s="2"/>
      <c r="B558" s="344"/>
      <c r="C558" s="345"/>
      <c r="D558" s="268" t="s">
        <v>419</v>
      </c>
      <c r="E558" s="269"/>
      <c r="F558" s="269" t="e">
        <f>+F43-F225+F462-F480+F522-F539</f>
        <v>#REF!</v>
      </c>
      <c r="G558" s="270" t="s">
        <v>347</v>
      </c>
      <c r="H558" s="270" t="s">
        <v>347</v>
      </c>
      <c r="I558" s="269">
        <v>-0.4997010827064514</v>
      </c>
      <c r="J558" s="269">
        <f>+J43-J225+J462-J480+J524-J541</f>
        <v>-108446.17450845242</v>
      </c>
      <c r="K558" s="270"/>
      <c r="L558" s="270" t="s">
        <v>347</v>
      </c>
      <c r="M558" s="269">
        <f>+M43-M225+M462-M480+M524-M541</f>
        <v>0</v>
      </c>
      <c r="N558" s="271" t="s">
        <v>347</v>
      </c>
      <c r="O558" s="271" t="s">
        <v>347</v>
      </c>
      <c r="P558" s="130"/>
      <c r="Q558" s="130"/>
      <c r="R558" s="130"/>
      <c r="S558" s="130"/>
      <c r="T558" s="130"/>
    </row>
    <row r="559" spans="1:20" ht="39" customHeight="1" hidden="1" thickBot="1" thickTop="1">
      <c r="A559" s="2"/>
      <c r="B559" s="346" t="s">
        <v>5</v>
      </c>
      <c r="C559" s="347" t="s">
        <v>420</v>
      </c>
      <c r="D559" s="272" t="s">
        <v>421</v>
      </c>
      <c r="E559" s="273">
        <f>+E501+E522-E539-E558</f>
        <v>8052346.251329988</v>
      </c>
      <c r="F559" s="273" t="e">
        <f>+F501+F522-F539-F558</f>
        <v>#REF!</v>
      </c>
      <c r="G559" s="274" t="s">
        <v>347</v>
      </c>
      <c r="H559" s="274" t="s">
        <v>347</v>
      </c>
      <c r="I559" s="273">
        <v>11736537.049701095</v>
      </c>
      <c r="J559" s="273">
        <f>+J501+J522-J539-J558</f>
        <v>15795453.174508452</v>
      </c>
      <c r="K559" s="274">
        <f>+J559/E559*100</f>
        <v>196.1596369741248</v>
      </c>
      <c r="L559" s="274" t="s">
        <v>347</v>
      </c>
      <c r="M559" s="275">
        <f>+M501+M522-M539-M558</f>
        <v>14419843.581937492</v>
      </c>
      <c r="N559" s="276" t="s">
        <v>347</v>
      </c>
      <c r="O559" s="276" t="s">
        <v>347</v>
      </c>
      <c r="P559" s="130"/>
      <c r="Q559" s="130"/>
      <c r="R559" s="130"/>
      <c r="S559" s="130"/>
      <c r="T559" s="130"/>
    </row>
    <row r="560" spans="2:20" ht="13.5" customHeight="1" thickBot="1" thickTop="1">
      <c r="B560" s="195"/>
      <c r="C560" s="195"/>
      <c r="D560" s="195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130"/>
      <c r="Q560" s="130"/>
      <c r="R560" s="130"/>
      <c r="S560" s="130"/>
      <c r="T560" s="130"/>
    </row>
    <row r="561" spans="2:20" ht="18.75" customHeight="1">
      <c r="B561" s="222"/>
      <c r="C561" s="223"/>
      <c r="D561" s="223" t="s">
        <v>422</v>
      </c>
      <c r="E561" s="223"/>
      <c r="F561" s="223"/>
      <c r="G561" s="223"/>
      <c r="H561" s="223"/>
      <c r="I561" s="223"/>
      <c r="J561" s="223"/>
      <c r="K561" s="223"/>
      <c r="L561" s="223"/>
      <c r="M561" s="224"/>
      <c r="N561" s="224"/>
      <c r="O561" s="224"/>
      <c r="P561" s="130"/>
      <c r="Q561" s="130"/>
      <c r="R561" s="130"/>
      <c r="S561" s="130"/>
      <c r="T561" s="130"/>
    </row>
    <row r="562" spans="2:20" ht="15.75">
      <c r="B562" s="225"/>
      <c r="C562" s="226"/>
      <c r="D562" s="227" t="s">
        <v>423</v>
      </c>
      <c r="E562" s="228">
        <v>5284501000</v>
      </c>
      <c r="F562" s="228">
        <v>5045000000</v>
      </c>
      <c r="G562" s="229">
        <f>+F562/E562*100</f>
        <v>95.46785969006345</v>
      </c>
      <c r="H562" s="228"/>
      <c r="I562" s="228">
        <v>5515100000</v>
      </c>
      <c r="J562" s="228">
        <v>5697300000</v>
      </c>
      <c r="K562" s="229">
        <f>+J562/E562*100</f>
        <v>107.81150386763103</v>
      </c>
      <c r="L562" s="229"/>
      <c r="M562" s="228">
        <v>6186800000</v>
      </c>
      <c r="N562" s="229">
        <f>+M562/J562*100</f>
        <v>108.59178909307919</v>
      </c>
      <c r="O562" s="228"/>
      <c r="P562" s="130"/>
      <c r="Q562" s="130"/>
      <c r="R562" s="130"/>
      <c r="S562" s="130"/>
      <c r="T562" s="130"/>
    </row>
    <row r="563" spans="2:20" ht="6.75" customHeight="1">
      <c r="B563" s="225"/>
      <c r="C563" s="226"/>
      <c r="D563" s="226"/>
      <c r="E563" s="226"/>
      <c r="F563" s="226"/>
      <c r="G563" s="226"/>
      <c r="H563" s="226"/>
      <c r="I563" s="226" t="s">
        <v>5</v>
      </c>
      <c r="J563" s="226" t="s">
        <v>5</v>
      </c>
      <c r="K563" s="226"/>
      <c r="L563" s="226"/>
      <c r="M563" s="230" t="s">
        <v>5</v>
      </c>
      <c r="N563" s="230"/>
      <c r="O563" s="230"/>
      <c r="P563" s="130"/>
      <c r="Q563" s="130"/>
      <c r="R563" s="130"/>
      <c r="S563" s="130"/>
      <c r="T563" s="130"/>
    </row>
    <row r="564" spans="2:20" ht="15.75" thickBot="1">
      <c r="B564" s="231"/>
      <c r="C564" s="232"/>
      <c r="D564" s="232"/>
      <c r="E564" s="233"/>
      <c r="F564" s="234" t="s">
        <v>5</v>
      </c>
      <c r="G564" s="232"/>
      <c r="H564" s="232"/>
      <c r="I564" s="232" t="s">
        <v>5</v>
      </c>
      <c r="J564" s="234" t="s">
        <v>5</v>
      </c>
      <c r="K564" s="232"/>
      <c r="L564" s="232"/>
      <c r="M564" s="234" t="s">
        <v>5</v>
      </c>
      <c r="N564" s="235"/>
      <c r="O564" s="235"/>
      <c r="P564" s="130"/>
      <c r="Q564" s="130"/>
      <c r="R564" s="130"/>
      <c r="S564" s="130"/>
      <c r="T564" s="130"/>
    </row>
    <row r="565" spans="2:20" ht="15">
      <c r="B565" s="130"/>
      <c r="C565" s="130"/>
      <c r="D565" s="130"/>
      <c r="E565" s="183"/>
      <c r="F565" s="130"/>
      <c r="G565" s="130"/>
      <c r="H565" s="130"/>
      <c r="I565" s="130" t="s">
        <v>5</v>
      </c>
      <c r="J565" s="130" t="s">
        <v>5</v>
      </c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</row>
    <row r="566" spans="2:20" ht="12.75">
      <c r="B566" s="130"/>
      <c r="C566" s="130"/>
      <c r="D566" s="130"/>
      <c r="E566" s="130"/>
      <c r="F566" s="130"/>
      <c r="G566" s="130" t="s">
        <v>424</v>
      </c>
      <c r="H566" s="130"/>
      <c r="I566" s="181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</row>
    <row r="567" spans="2:20" ht="12.75"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</row>
    <row r="568" spans="2:191" ht="18">
      <c r="B568" s="41"/>
      <c r="C568" s="236"/>
      <c r="D568" s="334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336"/>
      <c r="V568" s="336"/>
      <c r="W568" s="336"/>
      <c r="X568" s="336"/>
      <c r="Y568" s="336"/>
      <c r="Z568" s="336"/>
      <c r="AA568" s="336"/>
      <c r="AB568" s="336"/>
      <c r="AC568" s="336"/>
      <c r="AD568" s="336"/>
      <c r="AE568" s="336"/>
      <c r="AF568" s="336"/>
      <c r="AG568" s="336"/>
      <c r="AH568" s="336"/>
      <c r="AI568" s="336"/>
      <c r="AJ568" s="336"/>
      <c r="AK568" s="336"/>
      <c r="AL568" s="336"/>
      <c r="AM568" s="336"/>
      <c r="AN568" s="336"/>
      <c r="AO568" s="336"/>
      <c r="AP568" s="336"/>
      <c r="AQ568" s="336"/>
      <c r="AR568" s="336"/>
      <c r="AS568" s="336"/>
      <c r="AT568" s="336"/>
      <c r="AU568" s="336"/>
      <c r="AV568" s="336"/>
      <c r="AW568" s="336"/>
      <c r="AX568" s="336"/>
      <c r="AY568" s="336"/>
      <c r="AZ568" s="336"/>
      <c r="BA568" s="336"/>
      <c r="BB568" s="336"/>
      <c r="BC568" s="336"/>
      <c r="BD568" s="336"/>
      <c r="BE568" s="336"/>
      <c r="BF568" s="336"/>
      <c r="BG568" s="336"/>
      <c r="BH568" s="336"/>
      <c r="BI568" s="336"/>
      <c r="BJ568" s="336"/>
      <c r="BK568" s="336"/>
      <c r="BL568" s="336"/>
      <c r="BM568" s="336"/>
      <c r="BN568" s="336"/>
      <c r="BO568" s="336"/>
      <c r="BP568" s="336"/>
      <c r="BQ568" s="336"/>
      <c r="BR568" s="336"/>
      <c r="BS568" s="336"/>
      <c r="BT568" s="336"/>
      <c r="BU568" s="336"/>
      <c r="BV568" s="336"/>
      <c r="BW568" s="336"/>
      <c r="BX568" s="336"/>
      <c r="BY568" s="336"/>
      <c r="BZ568" s="336"/>
      <c r="CA568" s="336"/>
      <c r="CB568" s="336"/>
      <c r="CC568" s="336"/>
      <c r="CD568" s="336"/>
      <c r="CE568" s="336"/>
      <c r="CF568" s="336"/>
      <c r="CG568" s="336"/>
      <c r="CH568" s="336"/>
      <c r="CI568" s="336"/>
      <c r="CJ568" s="336"/>
      <c r="CK568" s="336"/>
      <c r="CL568" s="336"/>
      <c r="CM568" s="336"/>
      <c r="CN568" s="336"/>
      <c r="CO568" s="336"/>
      <c r="CP568" s="336"/>
      <c r="CQ568" s="336"/>
      <c r="CR568" s="336"/>
      <c r="CS568" s="336"/>
      <c r="CT568" s="336"/>
      <c r="CU568" s="336"/>
      <c r="CV568" s="336"/>
      <c r="CW568" s="336"/>
      <c r="CX568" s="336"/>
      <c r="CY568" s="336"/>
      <c r="CZ568" s="336"/>
      <c r="DA568" s="336"/>
      <c r="DB568" s="336"/>
      <c r="DC568" s="336"/>
      <c r="DD568" s="336"/>
      <c r="DE568" s="336"/>
      <c r="DF568" s="336"/>
      <c r="DG568" s="336"/>
      <c r="DH568" s="336"/>
      <c r="DI568" s="336"/>
      <c r="DJ568" s="336"/>
      <c r="DK568" s="336"/>
      <c r="DL568" s="336"/>
      <c r="DM568" s="336"/>
      <c r="DN568" s="336"/>
      <c r="DO568" s="336"/>
      <c r="DP568" s="336"/>
      <c r="DQ568" s="336"/>
      <c r="DR568" s="336"/>
      <c r="DS568" s="336"/>
      <c r="DT568" s="336"/>
      <c r="DU568" s="336"/>
      <c r="DV568" s="336"/>
      <c r="DW568" s="336"/>
      <c r="DX568" s="336"/>
      <c r="DY568" s="336"/>
      <c r="DZ568" s="336"/>
      <c r="EA568" s="336"/>
      <c r="EB568" s="336"/>
      <c r="EC568" s="336"/>
      <c r="ED568" s="336"/>
      <c r="EE568" s="336"/>
      <c r="EF568" s="336"/>
      <c r="EG568" s="336"/>
      <c r="EH568" s="336"/>
      <c r="EI568" s="336"/>
      <c r="EJ568" s="336"/>
      <c r="EK568" s="336"/>
      <c r="EL568" s="336"/>
      <c r="EM568" s="336"/>
      <c r="EN568" s="336"/>
      <c r="EO568" s="336"/>
      <c r="EP568" s="336"/>
      <c r="EQ568" s="336"/>
      <c r="ER568" s="336"/>
      <c r="ES568" s="336"/>
      <c r="ET568" s="336"/>
      <c r="EU568" s="336"/>
      <c r="EV568" s="336"/>
      <c r="EW568" s="336"/>
      <c r="EX568" s="336"/>
      <c r="EY568" s="336"/>
      <c r="EZ568" s="336"/>
      <c r="FA568" s="336"/>
      <c r="FB568" s="336"/>
      <c r="FC568" s="336"/>
      <c r="FD568" s="336"/>
      <c r="FE568" s="336"/>
      <c r="FF568" s="336"/>
      <c r="FG568" s="336"/>
      <c r="FH568" s="336"/>
      <c r="FI568" s="336"/>
      <c r="FJ568" s="336"/>
      <c r="FK568" s="336"/>
      <c r="FL568" s="336"/>
      <c r="FM568" s="336"/>
      <c r="FN568" s="336"/>
      <c r="FO568" s="336"/>
      <c r="FP568" s="336"/>
      <c r="FQ568" s="336"/>
      <c r="FR568" s="336"/>
      <c r="FS568" s="336"/>
      <c r="FT568" s="336"/>
      <c r="FU568" s="336"/>
      <c r="FV568" s="336"/>
      <c r="FW568" s="336"/>
      <c r="FX568" s="336"/>
      <c r="FY568" s="336"/>
      <c r="FZ568" s="336"/>
      <c r="GA568" s="336"/>
      <c r="GB568" s="336"/>
      <c r="GC568" s="336"/>
      <c r="GD568" s="336"/>
      <c r="GE568" s="336"/>
      <c r="GF568" s="336"/>
      <c r="GG568" s="336"/>
      <c r="GH568" s="336"/>
      <c r="GI568" s="336"/>
    </row>
    <row r="569" spans="2:191" ht="20.25">
      <c r="B569" s="236"/>
      <c r="C569" s="237"/>
      <c r="D569" s="337"/>
      <c r="E569" s="337"/>
      <c r="F569" s="338"/>
      <c r="G569" s="131"/>
      <c r="H569" s="131"/>
      <c r="I569" s="131"/>
      <c r="J569" s="339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336"/>
      <c r="V569" s="336"/>
      <c r="W569" s="336"/>
      <c r="X569" s="336"/>
      <c r="Y569" s="336"/>
      <c r="Z569" s="336"/>
      <c r="AA569" s="336"/>
      <c r="AB569" s="336"/>
      <c r="AC569" s="336"/>
      <c r="AD569" s="336"/>
      <c r="AE569" s="336"/>
      <c r="AF569" s="336"/>
      <c r="AG569" s="336"/>
      <c r="AH569" s="336"/>
      <c r="AI569" s="336"/>
      <c r="AJ569" s="336"/>
      <c r="AK569" s="336"/>
      <c r="AL569" s="336"/>
      <c r="AM569" s="336"/>
      <c r="AN569" s="336"/>
      <c r="AO569" s="336"/>
      <c r="AP569" s="336"/>
      <c r="AQ569" s="336"/>
      <c r="AR569" s="336"/>
      <c r="AS569" s="336"/>
      <c r="AT569" s="336"/>
      <c r="AU569" s="336"/>
      <c r="AV569" s="336"/>
      <c r="AW569" s="336"/>
      <c r="AX569" s="336"/>
      <c r="AY569" s="336"/>
      <c r="AZ569" s="336"/>
      <c r="BA569" s="336"/>
      <c r="BB569" s="336"/>
      <c r="BC569" s="336"/>
      <c r="BD569" s="336"/>
      <c r="BE569" s="336"/>
      <c r="BF569" s="336"/>
      <c r="BG569" s="336"/>
      <c r="BH569" s="336"/>
      <c r="BI569" s="336"/>
      <c r="BJ569" s="336"/>
      <c r="BK569" s="336"/>
      <c r="BL569" s="336"/>
      <c r="BM569" s="336"/>
      <c r="BN569" s="336"/>
      <c r="BO569" s="336"/>
      <c r="BP569" s="336"/>
      <c r="BQ569" s="336"/>
      <c r="BR569" s="336"/>
      <c r="BS569" s="336"/>
      <c r="BT569" s="336"/>
      <c r="BU569" s="336"/>
      <c r="BV569" s="336"/>
      <c r="BW569" s="336"/>
      <c r="BX569" s="336"/>
      <c r="BY569" s="336"/>
      <c r="BZ569" s="336"/>
      <c r="CA569" s="336"/>
      <c r="CB569" s="336"/>
      <c r="CC569" s="336"/>
      <c r="CD569" s="336"/>
      <c r="CE569" s="336"/>
      <c r="CF569" s="336"/>
      <c r="CG569" s="336"/>
      <c r="CH569" s="336"/>
      <c r="CI569" s="336"/>
      <c r="CJ569" s="336"/>
      <c r="CK569" s="336"/>
      <c r="CL569" s="336"/>
      <c r="CM569" s="336"/>
      <c r="CN569" s="336"/>
      <c r="CO569" s="336"/>
      <c r="CP569" s="336"/>
      <c r="CQ569" s="336"/>
      <c r="CR569" s="336"/>
      <c r="CS569" s="336"/>
      <c r="CT569" s="336"/>
      <c r="CU569" s="336"/>
      <c r="CV569" s="336"/>
      <c r="CW569" s="336"/>
      <c r="CX569" s="336"/>
      <c r="CY569" s="336"/>
      <c r="CZ569" s="336"/>
      <c r="DA569" s="336"/>
      <c r="DB569" s="336"/>
      <c r="DC569" s="336"/>
      <c r="DD569" s="336"/>
      <c r="DE569" s="336"/>
      <c r="DF569" s="336"/>
      <c r="DG569" s="336"/>
      <c r="DH569" s="336"/>
      <c r="DI569" s="336"/>
      <c r="DJ569" s="336"/>
      <c r="DK569" s="336"/>
      <c r="DL569" s="336"/>
      <c r="DM569" s="336"/>
      <c r="DN569" s="336"/>
      <c r="DO569" s="336"/>
      <c r="DP569" s="336"/>
      <c r="DQ569" s="336"/>
      <c r="DR569" s="336"/>
      <c r="DS569" s="336"/>
      <c r="DT569" s="336"/>
      <c r="DU569" s="336"/>
      <c r="DV569" s="336"/>
      <c r="DW569" s="336"/>
      <c r="DX569" s="336"/>
      <c r="DY569" s="336"/>
      <c r="DZ569" s="336"/>
      <c r="EA569" s="336"/>
      <c r="EB569" s="336"/>
      <c r="EC569" s="336"/>
      <c r="ED569" s="336"/>
      <c r="EE569" s="336"/>
      <c r="EF569" s="336"/>
      <c r="EG569" s="336"/>
      <c r="EH569" s="336"/>
      <c r="EI569" s="336"/>
      <c r="EJ569" s="336"/>
      <c r="EK569" s="336"/>
      <c r="EL569" s="336"/>
      <c r="EM569" s="336"/>
      <c r="EN569" s="336"/>
      <c r="EO569" s="336"/>
      <c r="EP569" s="336"/>
      <c r="EQ569" s="336"/>
      <c r="ER569" s="336"/>
      <c r="ES569" s="336"/>
      <c r="ET569" s="336"/>
      <c r="EU569" s="336"/>
      <c r="EV569" s="336"/>
      <c r="EW569" s="336"/>
      <c r="EX569" s="336"/>
      <c r="EY569" s="336"/>
      <c r="EZ569" s="336"/>
      <c r="FA569" s="336"/>
      <c r="FB569" s="336"/>
      <c r="FC569" s="336"/>
      <c r="FD569" s="336"/>
      <c r="FE569" s="336"/>
      <c r="FF569" s="336"/>
      <c r="FG569" s="336"/>
      <c r="FH569" s="336"/>
      <c r="FI569" s="336"/>
      <c r="FJ569" s="336"/>
      <c r="FK569" s="336"/>
      <c r="FL569" s="336"/>
      <c r="FM569" s="336"/>
      <c r="FN569" s="336"/>
      <c r="FO569" s="336"/>
      <c r="FP569" s="336"/>
      <c r="FQ569" s="336"/>
      <c r="FR569" s="336"/>
      <c r="FS569" s="336"/>
      <c r="FT569" s="336"/>
      <c r="FU569" s="336"/>
      <c r="FV569" s="336"/>
      <c r="FW569" s="336"/>
      <c r="FX569" s="336"/>
      <c r="FY569" s="336"/>
      <c r="FZ569" s="336"/>
      <c r="GA569" s="336"/>
      <c r="GB569" s="336"/>
      <c r="GC569" s="336"/>
      <c r="GD569" s="336"/>
      <c r="GE569" s="336"/>
      <c r="GF569" s="336"/>
      <c r="GG569" s="336"/>
      <c r="GH569" s="336"/>
      <c r="GI569" s="336"/>
    </row>
    <row r="570" spans="2:191" ht="20.25">
      <c r="B570" s="238"/>
      <c r="C570" s="237"/>
      <c r="D570" s="337"/>
      <c r="E570" s="337"/>
      <c r="F570" s="338"/>
      <c r="G570" s="337"/>
      <c r="H570" s="337"/>
      <c r="I570" s="337"/>
      <c r="J570" s="337"/>
      <c r="K570" s="337"/>
      <c r="L570" s="337"/>
      <c r="M570" s="131"/>
      <c r="N570" s="131"/>
      <c r="O570" s="131"/>
      <c r="P570" s="131"/>
      <c r="Q570" s="131"/>
      <c r="R570" s="131"/>
      <c r="S570" s="131"/>
      <c r="T570" s="131"/>
      <c r="U570" s="336"/>
      <c r="V570" s="336"/>
      <c r="W570" s="336"/>
      <c r="X570" s="336"/>
      <c r="Y570" s="336"/>
      <c r="Z570" s="336"/>
      <c r="AA570" s="336"/>
      <c r="AB570" s="336"/>
      <c r="AC570" s="336"/>
      <c r="AD570" s="336"/>
      <c r="AE570" s="336"/>
      <c r="AF570" s="336"/>
      <c r="AG570" s="336"/>
      <c r="AH570" s="336"/>
      <c r="AI570" s="336"/>
      <c r="AJ570" s="336"/>
      <c r="AK570" s="336"/>
      <c r="AL570" s="336"/>
      <c r="AM570" s="336"/>
      <c r="AN570" s="336"/>
      <c r="AO570" s="336"/>
      <c r="AP570" s="336"/>
      <c r="AQ570" s="336"/>
      <c r="AR570" s="336"/>
      <c r="AS570" s="336"/>
      <c r="AT570" s="336"/>
      <c r="AU570" s="336"/>
      <c r="AV570" s="336"/>
      <c r="AW570" s="336"/>
      <c r="AX570" s="336"/>
      <c r="AY570" s="336"/>
      <c r="AZ570" s="336"/>
      <c r="BA570" s="336"/>
      <c r="BB570" s="336"/>
      <c r="BC570" s="336"/>
      <c r="BD570" s="336"/>
      <c r="BE570" s="336"/>
      <c r="BF570" s="336"/>
      <c r="BG570" s="336"/>
      <c r="BH570" s="336"/>
      <c r="BI570" s="336"/>
      <c r="BJ570" s="336"/>
      <c r="BK570" s="336"/>
      <c r="BL570" s="336"/>
      <c r="BM570" s="336"/>
      <c r="BN570" s="336"/>
      <c r="BO570" s="336"/>
      <c r="BP570" s="336"/>
      <c r="BQ570" s="336"/>
      <c r="BR570" s="336"/>
      <c r="BS570" s="336"/>
      <c r="BT570" s="336"/>
      <c r="BU570" s="336"/>
      <c r="BV570" s="336"/>
      <c r="BW570" s="336"/>
      <c r="BX570" s="336"/>
      <c r="BY570" s="336"/>
      <c r="BZ570" s="336"/>
      <c r="CA570" s="336"/>
      <c r="CB570" s="336"/>
      <c r="CC570" s="336"/>
      <c r="CD570" s="336"/>
      <c r="CE570" s="336"/>
      <c r="CF570" s="336"/>
      <c r="CG570" s="336"/>
      <c r="CH570" s="336"/>
      <c r="CI570" s="336"/>
      <c r="CJ570" s="336"/>
      <c r="CK570" s="336"/>
      <c r="CL570" s="336"/>
      <c r="CM570" s="336"/>
      <c r="CN570" s="336"/>
      <c r="CO570" s="336"/>
      <c r="CP570" s="336"/>
      <c r="CQ570" s="336"/>
      <c r="CR570" s="336"/>
      <c r="CS570" s="336"/>
      <c r="CT570" s="336"/>
      <c r="CU570" s="336"/>
      <c r="CV570" s="336"/>
      <c r="CW570" s="336"/>
      <c r="CX570" s="336"/>
      <c r="CY570" s="336"/>
      <c r="CZ570" s="336"/>
      <c r="DA570" s="336"/>
      <c r="DB570" s="336"/>
      <c r="DC570" s="336"/>
      <c r="DD570" s="336"/>
      <c r="DE570" s="336"/>
      <c r="DF570" s="336"/>
      <c r="DG570" s="336"/>
      <c r="DH570" s="336"/>
      <c r="DI570" s="336"/>
      <c r="DJ570" s="336"/>
      <c r="DK570" s="336"/>
      <c r="DL570" s="336"/>
      <c r="DM570" s="336"/>
      <c r="DN570" s="336"/>
      <c r="DO570" s="336"/>
      <c r="DP570" s="336"/>
      <c r="DQ570" s="336"/>
      <c r="DR570" s="336"/>
      <c r="DS570" s="336"/>
      <c r="DT570" s="336"/>
      <c r="DU570" s="336"/>
      <c r="DV570" s="336"/>
      <c r="DW570" s="336"/>
      <c r="DX570" s="336"/>
      <c r="DY570" s="336"/>
      <c r="DZ570" s="336"/>
      <c r="EA570" s="336"/>
      <c r="EB570" s="336"/>
      <c r="EC570" s="336"/>
      <c r="ED570" s="336"/>
      <c r="EE570" s="336"/>
      <c r="EF570" s="336"/>
      <c r="EG570" s="336"/>
      <c r="EH570" s="336"/>
      <c r="EI570" s="336"/>
      <c r="EJ570" s="336"/>
      <c r="EK570" s="336"/>
      <c r="EL570" s="336"/>
      <c r="EM570" s="336"/>
      <c r="EN570" s="336"/>
      <c r="EO570" s="336"/>
      <c r="EP570" s="336"/>
      <c r="EQ570" s="336"/>
      <c r="ER570" s="336"/>
      <c r="ES570" s="336"/>
      <c r="ET570" s="336"/>
      <c r="EU570" s="336"/>
      <c r="EV570" s="336"/>
      <c r="EW570" s="336"/>
      <c r="EX570" s="336"/>
      <c r="EY570" s="336"/>
      <c r="EZ570" s="336"/>
      <c r="FA570" s="336"/>
      <c r="FB570" s="336"/>
      <c r="FC570" s="336"/>
      <c r="FD570" s="336"/>
      <c r="FE570" s="336"/>
      <c r="FF570" s="336"/>
      <c r="FG570" s="336"/>
      <c r="FH570" s="336"/>
      <c r="FI570" s="336"/>
      <c r="FJ570" s="336"/>
      <c r="FK570" s="336"/>
      <c r="FL570" s="336"/>
      <c r="FM570" s="336"/>
      <c r="FN570" s="336"/>
      <c r="FO570" s="336"/>
      <c r="FP570" s="336"/>
      <c r="FQ570" s="336"/>
      <c r="FR570" s="336"/>
      <c r="FS570" s="336"/>
      <c r="FT570" s="336"/>
      <c r="FU570" s="336"/>
      <c r="FV570" s="336"/>
      <c r="FW570" s="336"/>
      <c r="FX570" s="336"/>
      <c r="FY570" s="336"/>
      <c r="FZ570" s="336"/>
      <c r="GA570" s="336"/>
      <c r="GB570" s="336"/>
      <c r="GC570" s="336"/>
      <c r="GD570" s="336"/>
      <c r="GE570" s="336"/>
      <c r="GF570" s="336"/>
      <c r="GG570" s="336"/>
      <c r="GH570" s="336"/>
      <c r="GI570" s="336"/>
    </row>
    <row r="571" spans="2:191" ht="20.25">
      <c r="B571" s="238"/>
      <c r="C571" s="236"/>
      <c r="D571" s="337"/>
      <c r="E571" s="337"/>
      <c r="F571" s="338"/>
      <c r="G571" s="340"/>
      <c r="H571" s="337"/>
      <c r="I571" s="337"/>
      <c r="J571" s="341"/>
      <c r="K571" s="337"/>
      <c r="L571" s="337"/>
      <c r="M571" s="131"/>
      <c r="N571" s="131"/>
      <c r="O571" s="131"/>
      <c r="P571" s="131"/>
      <c r="Q571" s="131"/>
      <c r="R571" s="131"/>
      <c r="S571" s="131"/>
      <c r="T571" s="131"/>
      <c r="U571" s="336"/>
      <c r="V571" s="336"/>
      <c r="W571" s="336"/>
      <c r="X571" s="336"/>
      <c r="Y571" s="336"/>
      <c r="Z571" s="336"/>
      <c r="AA571" s="336"/>
      <c r="AB571" s="336"/>
      <c r="AC571" s="336"/>
      <c r="AD571" s="336"/>
      <c r="AE571" s="336"/>
      <c r="AF571" s="336"/>
      <c r="AG571" s="336"/>
      <c r="AH571" s="336"/>
      <c r="AI571" s="336"/>
      <c r="AJ571" s="336"/>
      <c r="AK571" s="336"/>
      <c r="AL571" s="336"/>
      <c r="AM571" s="336"/>
      <c r="AN571" s="336"/>
      <c r="AO571" s="336"/>
      <c r="AP571" s="336"/>
      <c r="AQ571" s="336"/>
      <c r="AR571" s="336"/>
      <c r="AS571" s="336"/>
      <c r="AT571" s="336"/>
      <c r="AU571" s="336"/>
      <c r="AV571" s="336"/>
      <c r="AW571" s="336"/>
      <c r="AX571" s="336"/>
      <c r="AY571" s="336"/>
      <c r="AZ571" s="336"/>
      <c r="BA571" s="336"/>
      <c r="BB571" s="336"/>
      <c r="BC571" s="336"/>
      <c r="BD571" s="336"/>
      <c r="BE571" s="336"/>
      <c r="BF571" s="336"/>
      <c r="BG571" s="336"/>
      <c r="BH571" s="336"/>
      <c r="BI571" s="336"/>
      <c r="BJ571" s="336"/>
      <c r="BK571" s="336"/>
      <c r="BL571" s="336"/>
      <c r="BM571" s="336"/>
      <c r="BN571" s="336"/>
      <c r="BO571" s="336"/>
      <c r="BP571" s="336"/>
      <c r="BQ571" s="336"/>
      <c r="BR571" s="336"/>
      <c r="BS571" s="336"/>
      <c r="BT571" s="336"/>
      <c r="BU571" s="336"/>
      <c r="BV571" s="336"/>
      <c r="BW571" s="336"/>
      <c r="BX571" s="336"/>
      <c r="BY571" s="336"/>
      <c r="BZ571" s="336"/>
      <c r="CA571" s="336"/>
      <c r="CB571" s="336"/>
      <c r="CC571" s="336"/>
      <c r="CD571" s="336"/>
      <c r="CE571" s="336"/>
      <c r="CF571" s="336"/>
      <c r="CG571" s="336"/>
      <c r="CH571" s="336"/>
      <c r="CI571" s="336"/>
      <c r="CJ571" s="336"/>
      <c r="CK571" s="336"/>
      <c r="CL571" s="336"/>
      <c r="CM571" s="336"/>
      <c r="CN571" s="336"/>
      <c r="CO571" s="336"/>
      <c r="CP571" s="336"/>
      <c r="CQ571" s="336"/>
      <c r="CR571" s="336"/>
      <c r="CS571" s="336"/>
      <c r="CT571" s="336"/>
      <c r="CU571" s="336"/>
      <c r="CV571" s="336"/>
      <c r="CW571" s="336"/>
      <c r="CX571" s="336"/>
      <c r="CY571" s="336"/>
      <c r="CZ571" s="336"/>
      <c r="DA571" s="336"/>
      <c r="DB571" s="336"/>
      <c r="DC571" s="336"/>
      <c r="DD571" s="336"/>
      <c r="DE571" s="336"/>
      <c r="DF571" s="336"/>
      <c r="DG571" s="336"/>
      <c r="DH571" s="336"/>
      <c r="DI571" s="336"/>
      <c r="DJ571" s="336"/>
      <c r="DK571" s="336"/>
      <c r="DL571" s="336"/>
      <c r="DM571" s="336"/>
      <c r="DN571" s="336"/>
      <c r="DO571" s="336"/>
      <c r="DP571" s="336"/>
      <c r="DQ571" s="336"/>
      <c r="DR571" s="336"/>
      <c r="DS571" s="336"/>
      <c r="DT571" s="336"/>
      <c r="DU571" s="336"/>
      <c r="DV571" s="336"/>
      <c r="DW571" s="336"/>
      <c r="DX571" s="336"/>
      <c r="DY571" s="336"/>
      <c r="DZ571" s="336"/>
      <c r="EA571" s="336"/>
      <c r="EB571" s="336"/>
      <c r="EC571" s="336"/>
      <c r="ED571" s="336"/>
      <c r="EE571" s="336"/>
      <c r="EF571" s="336"/>
      <c r="EG571" s="336"/>
      <c r="EH571" s="336"/>
      <c r="EI571" s="336"/>
      <c r="EJ571" s="336"/>
      <c r="EK571" s="336"/>
      <c r="EL571" s="336"/>
      <c r="EM571" s="336"/>
      <c r="EN571" s="336"/>
      <c r="EO571" s="336"/>
      <c r="EP571" s="336"/>
      <c r="EQ571" s="336"/>
      <c r="ER571" s="336"/>
      <c r="ES571" s="336"/>
      <c r="ET571" s="336"/>
      <c r="EU571" s="336"/>
      <c r="EV571" s="336"/>
      <c r="EW571" s="336"/>
      <c r="EX571" s="336"/>
      <c r="EY571" s="336"/>
      <c r="EZ571" s="336"/>
      <c r="FA571" s="336"/>
      <c r="FB571" s="336"/>
      <c r="FC571" s="336"/>
      <c r="FD571" s="336"/>
      <c r="FE571" s="336"/>
      <c r="FF571" s="336"/>
      <c r="FG571" s="336"/>
      <c r="FH571" s="336"/>
      <c r="FI571" s="336"/>
      <c r="FJ571" s="336"/>
      <c r="FK571" s="336"/>
      <c r="FL571" s="336"/>
      <c r="FM571" s="336"/>
      <c r="FN571" s="336"/>
      <c r="FO571" s="336"/>
      <c r="FP571" s="336"/>
      <c r="FQ571" s="336"/>
      <c r="FR571" s="336"/>
      <c r="FS571" s="336"/>
      <c r="FT571" s="336"/>
      <c r="FU571" s="336"/>
      <c r="FV571" s="336"/>
      <c r="FW571" s="336"/>
      <c r="FX571" s="336"/>
      <c r="FY571" s="336"/>
      <c r="FZ571" s="336"/>
      <c r="GA571" s="336"/>
      <c r="GB571" s="336"/>
      <c r="GC571" s="336"/>
      <c r="GD571" s="336"/>
      <c r="GE571" s="336"/>
      <c r="GF571" s="336"/>
      <c r="GG571" s="336"/>
      <c r="GH571" s="336"/>
      <c r="GI571" s="336"/>
    </row>
    <row r="572" spans="2:191" ht="20.25">
      <c r="B572" s="238"/>
      <c r="C572" s="236"/>
      <c r="D572" s="337"/>
      <c r="E572" s="337"/>
      <c r="F572" s="340"/>
      <c r="G572" s="337"/>
      <c r="H572" s="337"/>
      <c r="I572" s="337"/>
      <c r="J572" s="337"/>
      <c r="K572" s="337"/>
      <c r="L572" s="337"/>
      <c r="M572" s="131"/>
      <c r="N572" s="131"/>
      <c r="O572" s="131"/>
      <c r="P572" s="131"/>
      <c r="Q572" s="131"/>
      <c r="R572" s="131"/>
      <c r="S572" s="131"/>
      <c r="T572" s="131"/>
      <c r="U572" s="336"/>
      <c r="V572" s="336"/>
      <c r="W572" s="336"/>
      <c r="X572" s="336"/>
      <c r="Y572" s="336"/>
      <c r="Z572" s="336"/>
      <c r="AA572" s="336"/>
      <c r="AB572" s="336"/>
      <c r="AC572" s="336"/>
      <c r="AD572" s="336"/>
      <c r="AE572" s="336"/>
      <c r="AF572" s="336"/>
      <c r="AG572" s="336"/>
      <c r="AH572" s="336"/>
      <c r="AI572" s="336"/>
      <c r="AJ572" s="336"/>
      <c r="AK572" s="336"/>
      <c r="AL572" s="336"/>
      <c r="AM572" s="336"/>
      <c r="AN572" s="336"/>
      <c r="AO572" s="336"/>
      <c r="AP572" s="336"/>
      <c r="AQ572" s="336"/>
      <c r="AR572" s="336"/>
      <c r="AS572" s="336"/>
      <c r="AT572" s="336"/>
      <c r="AU572" s="336"/>
      <c r="AV572" s="336"/>
      <c r="AW572" s="336"/>
      <c r="AX572" s="336"/>
      <c r="AY572" s="336"/>
      <c r="AZ572" s="336"/>
      <c r="BA572" s="336"/>
      <c r="BB572" s="336"/>
      <c r="BC572" s="336"/>
      <c r="BD572" s="336"/>
      <c r="BE572" s="336"/>
      <c r="BF572" s="336"/>
      <c r="BG572" s="336"/>
      <c r="BH572" s="336"/>
      <c r="BI572" s="336"/>
      <c r="BJ572" s="336"/>
      <c r="BK572" s="336"/>
      <c r="BL572" s="336"/>
      <c r="BM572" s="336"/>
      <c r="BN572" s="336"/>
      <c r="BO572" s="336"/>
      <c r="BP572" s="336"/>
      <c r="BQ572" s="336"/>
      <c r="BR572" s="336"/>
      <c r="BS572" s="336"/>
      <c r="BT572" s="336"/>
      <c r="BU572" s="336"/>
      <c r="BV572" s="336"/>
      <c r="BW572" s="336"/>
      <c r="BX572" s="336"/>
      <c r="BY572" s="336"/>
      <c r="BZ572" s="336"/>
      <c r="CA572" s="336"/>
      <c r="CB572" s="336"/>
      <c r="CC572" s="336"/>
      <c r="CD572" s="336"/>
      <c r="CE572" s="336"/>
      <c r="CF572" s="336"/>
      <c r="CG572" s="336"/>
      <c r="CH572" s="336"/>
      <c r="CI572" s="336"/>
      <c r="CJ572" s="336"/>
      <c r="CK572" s="336"/>
      <c r="CL572" s="336"/>
      <c r="CM572" s="336"/>
      <c r="CN572" s="336"/>
      <c r="CO572" s="336"/>
      <c r="CP572" s="336"/>
      <c r="CQ572" s="336"/>
      <c r="CR572" s="336"/>
      <c r="CS572" s="336"/>
      <c r="CT572" s="336"/>
      <c r="CU572" s="336"/>
      <c r="CV572" s="336"/>
      <c r="CW572" s="336"/>
      <c r="CX572" s="336"/>
      <c r="CY572" s="336"/>
      <c r="CZ572" s="336"/>
      <c r="DA572" s="336"/>
      <c r="DB572" s="336"/>
      <c r="DC572" s="336"/>
      <c r="DD572" s="336"/>
      <c r="DE572" s="336"/>
      <c r="DF572" s="336"/>
      <c r="DG572" s="336"/>
      <c r="DH572" s="336"/>
      <c r="DI572" s="336"/>
      <c r="DJ572" s="336"/>
      <c r="DK572" s="336"/>
      <c r="DL572" s="336"/>
      <c r="DM572" s="336"/>
      <c r="DN572" s="336"/>
      <c r="DO572" s="336"/>
      <c r="DP572" s="336"/>
      <c r="DQ572" s="336"/>
      <c r="DR572" s="336"/>
      <c r="DS572" s="336"/>
      <c r="DT572" s="336"/>
      <c r="DU572" s="336"/>
      <c r="DV572" s="336"/>
      <c r="DW572" s="336"/>
      <c r="DX572" s="336"/>
      <c r="DY572" s="336"/>
      <c r="DZ572" s="336"/>
      <c r="EA572" s="336"/>
      <c r="EB572" s="336"/>
      <c r="EC572" s="336"/>
      <c r="ED572" s="336"/>
      <c r="EE572" s="336"/>
      <c r="EF572" s="336"/>
      <c r="EG572" s="336"/>
      <c r="EH572" s="336"/>
      <c r="EI572" s="336"/>
      <c r="EJ572" s="336"/>
      <c r="EK572" s="336"/>
      <c r="EL572" s="336"/>
      <c r="EM572" s="336"/>
      <c r="EN572" s="336"/>
      <c r="EO572" s="336"/>
      <c r="EP572" s="336"/>
      <c r="EQ572" s="336"/>
      <c r="ER572" s="336"/>
      <c r="ES572" s="336"/>
      <c r="ET572" s="336"/>
      <c r="EU572" s="336"/>
      <c r="EV572" s="336"/>
      <c r="EW572" s="336"/>
      <c r="EX572" s="336"/>
      <c r="EY572" s="336"/>
      <c r="EZ572" s="336"/>
      <c r="FA572" s="336"/>
      <c r="FB572" s="336"/>
      <c r="FC572" s="336"/>
      <c r="FD572" s="336"/>
      <c r="FE572" s="336"/>
      <c r="FF572" s="336"/>
      <c r="FG572" s="336"/>
      <c r="FH572" s="336"/>
      <c r="FI572" s="336"/>
      <c r="FJ572" s="336"/>
      <c r="FK572" s="336"/>
      <c r="FL572" s="336"/>
      <c r="FM572" s="336"/>
      <c r="FN572" s="336"/>
      <c r="FO572" s="336"/>
      <c r="FP572" s="336"/>
      <c r="FQ572" s="336"/>
      <c r="FR572" s="336"/>
      <c r="FS572" s="336"/>
      <c r="FT572" s="336"/>
      <c r="FU572" s="336"/>
      <c r="FV572" s="336"/>
      <c r="FW572" s="336"/>
      <c r="FX572" s="336"/>
      <c r="FY572" s="336"/>
      <c r="FZ572" s="336"/>
      <c r="GA572" s="336"/>
      <c r="GB572" s="336"/>
      <c r="GC572" s="336"/>
      <c r="GD572" s="336"/>
      <c r="GE572" s="336"/>
      <c r="GF572" s="336"/>
      <c r="GG572" s="336"/>
      <c r="GH572" s="336"/>
      <c r="GI572" s="336"/>
    </row>
    <row r="573" spans="2:191" ht="20.25">
      <c r="B573" s="238"/>
      <c r="C573" s="236"/>
      <c r="D573" s="337"/>
      <c r="E573" s="337"/>
      <c r="F573" s="337"/>
      <c r="G573" s="337"/>
      <c r="H573" s="337"/>
      <c r="I573" s="337"/>
      <c r="J573" s="337"/>
      <c r="K573" s="337"/>
      <c r="L573" s="337"/>
      <c r="M573" s="131"/>
      <c r="N573" s="131"/>
      <c r="O573" s="131"/>
      <c r="P573" s="131"/>
      <c r="Q573" s="131"/>
      <c r="R573" s="131"/>
      <c r="S573" s="131"/>
      <c r="T573" s="131"/>
      <c r="U573" s="336"/>
      <c r="V573" s="336"/>
      <c r="W573" s="336"/>
      <c r="X573" s="336"/>
      <c r="Y573" s="336"/>
      <c r="Z573" s="336"/>
      <c r="AA573" s="336"/>
      <c r="AB573" s="336"/>
      <c r="AC573" s="336"/>
      <c r="AD573" s="336"/>
      <c r="AE573" s="336"/>
      <c r="AF573" s="336"/>
      <c r="AG573" s="336"/>
      <c r="AH573" s="336"/>
      <c r="AI573" s="336"/>
      <c r="AJ573" s="336"/>
      <c r="AK573" s="336"/>
      <c r="AL573" s="336"/>
      <c r="AM573" s="336"/>
      <c r="AN573" s="336"/>
      <c r="AO573" s="336"/>
      <c r="AP573" s="336"/>
      <c r="AQ573" s="336"/>
      <c r="AR573" s="336"/>
      <c r="AS573" s="336"/>
      <c r="AT573" s="336"/>
      <c r="AU573" s="336"/>
      <c r="AV573" s="336"/>
      <c r="AW573" s="336"/>
      <c r="AX573" s="336"/>
      <c r="AY573" s="336"/>
      <c r="AZ573" s="336"/>
      <c r="BA573" s="336"/>
      <c r="BB573" s="336"/>
      <c r="BC573" s="336"/>
      <c r="BD573" s="336"/>
      <c r="BE573" s="336"/>
      <c r="BF573" s="336"/>
      <c r="BG573" s="336"/>
      <c r="BH573" s="336"/>
      <c r="BI573" s="336"/>
      <c r="BJ573" s="336"/>
      <c r="BK573" s="336"/>
      <c r="BL573" s="336"/>
      <c r="BM573" s="336"/>
      <c r="BN573" s="336"/>
      <c r="BO573" s="336"/>
      <c r="BP573" s="336"/>
      <c r="BQ573" s="336"/>
      <c r="BR573" s="336"/>
      <c r="BS573" s="336"/>
      <c r="BT573" s="336"/>
      <c r="BU573" s="336"/>
      <c r="BV573" s="336"/>
      <c r="BW573" s="336"/>
      <c r="BX573" s="336"/>
      <c r="BY573" s="336"/>
      <c r="BZ573" s="336"/>
      <c r="CA573" s="336"/>
      <c r="CB573" s="336"/>
      <c r="CC573" s="336"/>
      <c r="CD573" s="336"/>
      <c r="CE573" s="336"/>
      <c r="CF573" s="336"/>
      <c r="CG573" s="336"/>
      <c r="CH573" s="336"/>
      <c r="CI573" s="336"/>
      <c r="CJ573" s="336"/>
      <c r="CK573" s="336"/>
      <c r="CL573" s="336"/>
      <c r="CM573" s="336"/>
      <c r="CN573" s="336"/>
      <c r="CO573" s="336"/>
      <c r="CP573" s="336"/>
      <c r="CQ573" s="336"/>
      <c r="CR573" s="336"/>
      <c r="CS573" s="336"/>
      <c r="CT573" s="336"/>
      <c r="CU573" s="336"/>
      <c r="CV573" s="336"/>
      <c r="CW573" s="336"/>
      <c r="CX573" s="336"/>
      <c r="CY573" s="336"/>
      <c r="CZ573" s="336"/>
      <c r="DA573" s="336"/>
      <c r="DB573" s="336"/>
      <c r="DC573" s="336"/>
      <c r="DD573" s="336"/>
      <c r="DE573" s="336"/>
      <c r="DF573" s="336"/>
      <c r="DG573" s="336"/>
      <c r="DH573" s="336"/>
      <c r="DI573" s="336"/>
      <c r="DJ573" s="336"/>
      <c r="DK573" s="336"/>
      <c r="DL573" s="336"/>
      <c r="DM573" s="336"/>
      <c r="DN573" s="336"/>
      <c r="DO573" s="336"/>
      <c r="DP573" s="336"/>
      <c r="DQ573" s="336"/>
      <c r="DR573" s="336"/>
      <c r="DS573" s="336"/>
      <c r="DT573" s="336"/>
      <c r="DU573" s="336"/>
      <c r="DV573" s="336"/>
      <c r="DW573" s="336"/>
      <c r="DX573" s="336"/>
      <c r="DY573" s="336"/>
      <c r="DZ573" s="336"/>
      <c r="EA573" s="336"/>
      <c r="EB573" s="336"/>
      <c r="EC573" s="336"/>
      <c r="ED573" s="336"/>
      <c r="EE573" s="336"/>
      <c r="EF573" s="336"/>
      <c r="EG573" s="336"/>
      <c r="EH573" s="336"/>
      <c r="EI573" s="336"/>
      <c r="EJ573" s="336"/>
      <c r="EK573" s="336"/>
      <c r="EL573" s="336"/>
      <c r="EM573" s="336"/>
      <c r="EN573" s="336"/>
      <c r="EO573" s="336"/>
      <c r="EP573" s="336"/>
      <c r="EQ573" s="336"/>
      <c r="ER573" s="336"/>
      <c r="ES573" s="336"/>
      <c r="ET573" s="336"/>
      <c r="EU573" s="336"/>
      <c r="EV573" s="336"/>
      <c r="EW573" s="336"/>
      <c r="EX573" s="336"/>
      <c r="EY573" s="336"/>
      <c r="EZ573" s="336"/>
      <c r="FA573" s="336"/>
      <c r="FB573" s="336"/>
      <c r="FC573" s="336"/>
      <c r="FD573" s="336"/>
      <c r="FE573" s="336"/>
      <c r="FF573" s="336"/>
      <c r="FG573" s="336"/>
      <c r="FH573" s="336"/>
      <c r="FI573" s="336"/>
      <c r="FJ573" s="336"/>
      <c r="FK573" s="336"/>
      <c r="FL573" s="336"/>
      <c r="FM573" s="336"/>
      <c r="FN573" s="336"/>
      <c r="FO573" s="336"/>
      <c r="FP573" s="336"/>
      <c r="FQ573" s="336"/>
      <c r="FR573" s="336"/>
      <c r="FS573" s="336"/>
      <c r="FT573" s="336"/>
      <c r="FU573" s="336"/>
      <c r="FV573" s="336"/>
      <c r="FW573" s="336"/>
      <c r="FX573" s="336"/>
      <c r="FY573" s="336"/>
      <c r="FZ573" s="336"/>
      <c r="GA573" s="336"/>
      <c r="GB573" s="336"/>
      <c r="GC573" s="336"/>
      <c r="GD573" s="336"/>
      <c r="GE573" s="336"/>
      <c r="GF573" s="336"/>
      <c r="GG573" s="336"/>
      <c r="GH573" s="336"/>
      <c r="GI573" s="336"/>
    </row>
    <row r="574" spans="2:191" ht="18">
      <c r="B574" s="236"/>
      <c r="C574" s="236"/>
      <c r="D574" s="335"/>
      <c r="E574" s="335"/>
      <c r="F574" s="335"/>
      <c r="G574" s="335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336"/>
      <c r="V574" s="336"/>
      <c r="W574" s="336"/>
      <c r="X574" s="336"/>
      <c r="Y574" s="336"/>
      <c r="Z574" s="336"/>
      <c r="AA574" s="336"/>
      <c r="AB574" s="336"/>
      <c r="AC574" s="336"/>
      <c r="AD574" s="336"/>
      <c r="AE574" s="336"/>
      <c r="AF574" s="336"/>
      <c r="AG574" s="336"/>
      <c r="AH574" s="336"/>
      <c r="AI574" s="336"/>
      <c r="AJ574" s="336"/>
      <c r="AK574" s="336"/>
      <c r="AL574" s="336"/>
      <c r="AM574" s="336"/>
      <c r="AN574" s="336"/>
      <c r="AO574" s="336"/>
      <c r="AP574" s="336"/>
      <c r="AQ574" s="336"/>
      <c r="AR574" s="336"/>
      <c r="AS574" s="336"/>
      <c r="AT574" s="336"/>
      <c r="AU574" s="336"/>
      <c r="AV574" s="336"/>
      <c r="AW574" s="336"/>
      <c r="AX574" s="336"/>
      <c r="AY574" s="336"/>
      <c r="AZ574" s="336"/>
      <c r="BA574" s="336"/>
      <c r="BB574" s="336"/>
      <c r="BC574" s="336"/>
      <c r="BD574" s="336"/>
      <c r="BE574" s="336"/>
      <c r="BF574" s="336"/>
      <c r="BG574" s="336"/>
      <c r="BH574" s="336"/>
      <c r="BI574" s="336"/>
      <c r="BJ574" s="336"/>
      <c r="BK574" s="336"/>
      <c r="BL574" s="336"/>
      <c r="BM574" s="336"/>
      <c r="BN574" s="336"/>
      <c r="BO574" s="336"/>
      <c r="BP574" s="336"/>
      <c r="BQ574" s="336"/>
      <c r="BR574" s="336"/>
      <c r="BS574" s="336"/>
      <c r="BT574" s="336"/>
      <c r="BU574" s="336"/>
      <c r="BV574" s="336"/>
      <c r="BW574" s="336"/>
      <c r="BX574" s="336"/>
      <c r="BY574" s="336"/>
      <c r="BZ574" s="336"/>
      <c r="CA574" s="336"/>
      <c r="CB574" s="336"/>
      <c r="CC574" s="336"/>
      <c r="CD574" s="336"/>
      <c r="CE574" s="336"/>
      <c r="CF574" s="336"/>
      <c r="CG574" s="336"/>
      <c r="CH574" s="336"/>
      <c r="CI574" s="336"/>
      <c r="CJ574" s="336"/>
      <c r="CK574" s="336"/>
      <c r="CL574" s="336"/>
      <c r="CM574" s="336"/>
      <c r="CN574" s="336"/>
      <c r="CO574" s="336"/>
      <c r="CP574" s="336"/>
      <c r="CQ574" s="336"/>
      <c r="CR574" s="336"/>
      <c r="CS574" s="336"/>
      <c r="CT574" s="336"/>
      <c r="CU574" s="336"/>
      <c r="CV574" s="336"/>
      <c r="CW574" s="336"/>
      <c r="CX574" s="336"/>
      <c r="CY574" s="336"/>
      <c r="CZ574" s="336"/>
      <c r="DA574" s="336"/>
      <c r="DB574" s="336"/>
      <c r="DC574" s="336"/>
      <c r="DD574" s="336"/>
      <c r="DE574" s="336"/>
      <c r="DF574" s="336"/>
      <c r="DG574" s="336"/>
      <c r="DH574" s="336"/>
      <c r="DI574" s="336"/>
      <c r="DJ574" s="336"/>
      <c r="DK574" s="336"/>
      <c r="DL574" s="336"/>
      <c r="DM574" s="336"/>
      <c r="DN574" s="336"/>
      <c r="DO574" s="336"/>
      <c r="DP574" s="336"/>
      <c r="DQ574" s="336"/>
      <c r="DR574" s="336"/>
      <c r="DS574" s="336"/>
      <c r="DT574" s="336"/>
      <c r="DU574" s="336"/>
      <c r="DV574" s="336"/>
      <c r="DW574" s="336"/>
      <c r="DX574" s="336"/>
      <c r="DY574" s="336"/>
      <c r="DZ574" s="336"/>
      <c r="EA574" s="336"/>
      <c r="EB574" s="336"/>
      <c r="EC574" s="336"/>
      <c r="ED574" s="336"/>
      <c r="EE574" s="336"/>
      <c r="EF574" s="336"/>
      <c r="EG574" s="336"/>
      <c r="EH574" s="336"/>
      <c r="EI574" s="336"/>
      <c r="EJ574" s="336"/>
      <c r="EK574" s="336"/>
      <c r="EL574" s="336"/>
      <c r="EM574" s="336"/>
      <c r="EN574" s="336"/>
      <c r="EO574" s="336"/>
      <c r="EP574" s="336"/>
      <c r="EQ574" s="336"/>
      <c r="ER574" s="336"/>
      <c r="ES574" s="336"/>
      <c r="ET574" s="336"/>
      <c r="EU574" s="336"/>
      <c r="EV574" s="336"/>
      <c r="EW574" s="336"/>
      <c r="EX574" s="336"/>
      <c r="EY574" s="336"/>
      <c r="EZ574" s="336"/>
      <c r="FA574" s="336"/>
      <c r="FB574" s="336"/>
      <c r="FC574" s="336"/>
      <c r="FD574" s="336"/>
      <c r="FE574" s="336"/>
      <c r="FF574" s="336"/>
      <c r="FG574" s="336"/>
      <c r="FH574" s="336"/>
      <c r="FI574" s="336"/>
      <c r="FJ574" s="336"/>
      <c r="FK574" s="336"/>
      <c r="FL574" s="336"/>
      <c r="FM574" s="336"/>
      <c r="FN574" s="336"/>
      <c r="FO574" s="336"/>
      <c r="FP574" s="336"/>
      <c r="FQ574" s="336"/>
      <c r="FR574" s="336"/>
      <c r="FS574" s="336"/>
      <c r="FT574" s="336"/>
      <c r="FU574" s="336"/>
      <c r="FV574" s="336"/>
      <c r="FW574" s="336"/>
      <c r="FX574" s="336"/>
      <c r="FY574" s="336"/>
      <c r="FZ574" s="336"/>
      <c r="GA574" s="336"/>
      <c r="GB574" s="336"/>
      <c r="GC574" s="336"/>
      <c r="GD574" s="336"/>
      <c r="GE574" s="336"/>
      <c r="GF574" s="336"/>
      <c r="GG574" s="336"/>
      <c r="GH574" s="336"/>
      <c r="GI574" s="336"/>
    </row>
    <row r="575" spans="2:191" ht="18">
      <c r="B575" s="236"/>
      <c r="C575" s="236"/>
      <c r="D575" s="335"/>
      <c r="E575" s="335"/>
      <c r="F575" s="335"/>
      <c r="G575" s="335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336"/>
      <c r="V575" s="336"/>
      <c r="W575" s="336"/>
      <c r="X575" s="336"/>
      <c r="Y575" s="336"/>
      <c r="Z575" s="336"/>
      <c r="AA575" s="336"/>
      <c r="AB575" s="336"/>
      <c r="AC575" s="336"/>
      <c r="AD575" s="336"/>
      <c r="AE575" s="336"/>
      <c r="AF575" s="336"/>
      <c r="AG575" s="336"/>
      <c r="AH575" s="336"/>
      <c r="AI575" s="336"/>
      <c r="AJ575" s="336"/>
      <c r="AK575" s="336"/>
      <c r="AL575" s="336"/>
      <c r="AM575" s="336"/>
      <c r="AN575" s="336"/>
      <c r="AO575" s="336"/>
      <c r="AP575" s="336"/>
      <c r="AQ575" s="336"/>
      <c r="AR575" s="336"/>
      <c r="AS575" s="336"/>
      <c r="AT575" s="336"/>
      <c r="AU575" s="336"/>
      <c r="AV575" s="336"/>
      <c r="AW575" s="336"/>
      <c r="AX575" s="336"/>
      <c r="AY575" s="336"/>
      <c r="AZ575" s="336"/>
      <c r="BA575" s="336"/>
      <c r="BB575" s="336"/>
      <c r="BC575" s="336"/>
      <c r="BD575" s="336"/>
      <c r="BE575" s="336"/>
      <c r="BF575" s="336"/>
      <c r="BG575" s="336"/>
      <c r="BH575" s="336"/>
      <c r="BI575" s="336"/>
      <c r="BJ575" s="336"/>
      <c r="BK575" s="336"/>
      <c r="BL575" s="336"/>
      <c r="BM575" s="336"/>
      <c r="BN575" s="336"/>
      <c r="BO575" s="336"/>
      <c r="BP575" s="336"/>
      <c r="BQ575" s="336"/>
      <c r="BR575" s="336"/>
      <c r="BS575" s="336"/>
      <c r="BT575" s="336"/>
      <c r="BU575" s="336"/>
      <c r="BV575" s="336"/>
      <c r="BW575" s="336"/>
      <c r="BX575" s="336"/>
      <c r="BY575" s="336"/>
      <c r="BZ575" s="336"/>
      <c r="CA575" s="336"/>
      <c r="CB575" s="336"/>
      <c r="CC575" s="336"/>
      <c r="CD575" s="336"/>
      <c r="CE575" s="336"/>
      <c r="CF575" s="336"/>
      <c r="CG575" s="336"/>
      <c r="CH575" s="336"/>
      <c r="CI575" s="336"/>
      <c r="CJ575" s="336"/>
      <c r="CK575" s="336"/>
      <c r="CL575" s="336"/>
      <c r="CM575" s="336"/>
      <c r="CN575" s="336"/>
      <c r="CO575" s="336"/>
      <c r="CP575" s="336"/>
      <c r="CQ575" s="336"/>
      <c r="CR575" s="336"/>
      <c r="CS575" s="336"/>
      <c r="CT575" s="336"/>
      <c r="CU575" s="336"/>
      <c r="CV575" s="336"/>
      <c r="CW575" s="336"/>
      <c r="CX575" s="336"/>
      <c r="CY575" s="336"/>
      <c r="CZ575" s="336"/>
      <c r="DA575" s="336"/>
      <c r="DB575" s="336"/>
      <c r="DC575" s="336"/>
      <c r="DD575" s="336"/>
      <c r="DE575" s="336"/>
      <c r="DF575" s="336"/>
      <c r="DG575" s="336"/>
      <c r="DH575" s="336"/>
      <c r="DI575" s="336"/>
      <c r="DJ575" s="336"/>
      <c r="DK575" s="336"/>
      <c r="DL575" s="336"/>
      <c r="DM575" s="336"/>
      <c r="DN575" s="336"/>
      <c r="DO575" s="336"/>
      <c r="DP575" s="336"/>
      <c r="DQ575" s="336"/>
      <c r="DR575" s="336"/>
      <c r="DS575" s="336"/>
      <c r="DT575" s="336"/>
      <c r="DU575" s="336"/>
      <c r="DV575" s="336"/>
      <c r="DW575" s="336"/>
      <c r="DX575" s="336"/>
      <c r="DY575" s="336"/>
      <c r="DZ575" s="336"/>
      <c r="EA575" s="336"/>
      <c r="EB575" s="336"/>
      <c r="EC575" s="336"/>
      <c r="ED575" s="336"/>
      <c r="EE575" s="336"/>
      <c r="EF575" s="336"/>
      <c r="EG575" s="336"/>
      <c r="EH575" s="336"/>
      <c r="EI575" s="336"/>
      <c r="EJ575" s="336"/>
      <c r="EK575" s="336"/>
      <c r="EL575" s="336"/>
      <c r="EM575" s="336"/>
      <c r="EN575" s="336"/>
      <c r="EO575" s="336"/>
      <c r="EP575" s="336"/>
      <c r="EQ575" s="336"/>
      <c r="ER575" s="336"/>
      <c r="ES575" s="336"/>
      <c r="ET575" s="336"/>
      <c r="EU575" s="336"/>
      <c r="EV575" s="336"/>
      <c r="EW575" s="336"/>
      <c r="EX575" s="336"/>
      <c r="EY575" s="336"/>
      <c r="EZ575" s="336"/>
      <c r="FA575" s="336"/>
      <c r="FB575" s="336"/>
      <c r="FC575" s="336"/>
      <c r="FD575" s="336"/>
      <c r="FE575" s="336"/>
      <c r="FF575" s="336"/>
      <c r="FG575" s="336"/>
      <c r="FH575" s="336"/>
      <c r="FI575" s="336"/>
      <c r="FJ575" s="336"/>
      <c r="FK575" s="336"/>
      <c r="FL575" s="336"/>
      <c r="FM575" s="336"/>
      <c r="FN575" s="336"/>
      <c r="FO575" s="336"/>
      <c r="FP575" s="336"/>
      <c r="FQ575" s="336"/>
      <c r="FR575" s="336"/>
      <c r="FS575" s="336"/>
      <c r="FT575" s="336"/>
      <c r="FU575" s="336"/>
      <c r="FV575" s="336"/>
      <c r="FW575" s="336"/>
      <c r="FX575" s="336"/>
      <c r="FY575" s="336"/>
      <c r="FZ575" s="336"/>
      <c r="GA575" s="336"/>
      <c r="GB575" s="336"/>
      <c r="GC575" s="336"/>
      <c r="GD575" s="336"/>
      <c r="GE575" s="336"/>
      <c r="GF575" s="336"/>
      <c r="GG575" s="336"/>
      <c r="GH575" s="336"/>
      <c r="GI575" s="336"/>
    </row>
  </sheetData>
  <printOptions/>
  <pageMargins left="0.67" right="0.75" top="0.5511811023622047" bottom="0.54" header="0.1968503937007874" footer="0.2"/>
  <pageSetup fitToHeight="5" fitToWidth="5" horizontalDpi="600" verticalDpi="600" orientation="portrait" paperSize="8" scale="50" r:id="rId3"/>
  <headerFooter alignWithMargins="0">
    <oddHeader>&amp;CFN04naproj03-ver2</oddHeader>
    <oddFooter>&amp;L&amp;11Pripravila: Barbara Pišek
&amp;R&amp;11&amp;D</oddFooter>
  </headerFooter>
  <rowBreaks count="2" manualBreakCount="2">
    <brk id="224" min="1" max="20" man="1"/>
    <brk id="452" min="1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ZZZS</cp:lastModifiedBy>
  <cp:lastPrinted>2004-05-17T07:19:16Z</cp:lastPrinted>
  <dcterms:created xsi:type="dcterms:W3CDTF">1999-04-20T15:11:30Z</dcterms:created>
  <dcterms:modified xsi:type="dcterms:W3CDTF">2004-05-17T07:24:11Z</dcterms:modified>
  <cp:category/>
  <cp:version/>
  <cp:contentType/>
  <cp:contentStatus/>
</cp:coreProperties>
</file>